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3590" tabRatio="898" activeTab="0"/>
  </bookViews>
  <sheets>
    <sheet name="Anexo 1 _ BAL ORC" sheetId="1" r:id="rId1"/>
    <sheet name="Anexo 2 _ DP FUNC" sheetId="2" r:id="rId2"/>
    <sheet name="Anexo 3 _ RCL" sheetId="3" r:id="rId3"/>
    <sheet name="Anexo 4 _ PREVID " sheetId="4" r:id="rId4"/>
    <sheet name="Anexo 6 _ RES PRIM e NOM" sheetId="5" r:id="rId5"/>
    <sheet name="Anexo XII_PROJ AT REG GERAL HIP" sheetId="6" state="hidden" r:id="rId6"/>
    <sheet name="Anexo 7 _  RP" sheetId="7" r:id="rId7"/>
    <sheet name="Anexo 8 _ ENSINO" sheetId="8" r:id="rId8"/>
    <sheet name="Anexo 12 _ SAÚDE" sheetId="9" r:id="rId9"/>
    <sheet name="Anexo 13 _PPP" sheetId="10" r:id="rId10"/>
    <sheet name="Anexo 14 _ Simplificado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0Planilha_2TítCols_6_1" localSheetId="8">(#REF!,#REF!)</definedName>
    <definedName name="_10Planilha_2TítCols_6_1" localSheetId="9">(#REF!,#REF!)</definedName>
    <definedName name="_10Planilha_2TítCols_6_1">(#REF!,#REF!)</definedName>
    <definedName name="_11Planilha_2TítLins_6_1" localSheetId="8">#REF!</definedName>
    <definedName name="_11Planilha_2TítLins_6_1" localSheetId="9">#REF!</definedName>
    <definedName name="_11Planilha_2TítLins_6_1">#REF!</definedName>
    <definedName name="_12Planilha_3ÁreaTotal_6_1" localSheetId="8">(#REF!,#REF!)</definedName>
    <definedName name="_12Planilha_3ÁreaTotal_6_1" localSheetId="9">(#REF!,#REF!)</definedName>
    <definedName name="_12Planilha_3ÁreaTotal_6_1">(#REF!,#REF!)</definedName>
    <definedName name="_13Planilha_3CabGráfico_6_1" localSheetId="8">#REF!</definedName>
    <definedName name="_13Planilha_3CabGráfico_6_1" localSheetId="9">#REF!</definedName>
    <definedName name="_13Planilha_3CabGráfico_6_1">#REF!</definedName>
    <definedName name="_14Planilha_3TítCols_6_1" localSheetId="8">(#REF!,#REF!)</definedName>
    <definedName name="_14Planilha_3TítCols_6_1" localSheetId="9">(#REF!,#REF!)</definedName>
    <definedName name="_14Planilha_3TítCols_6_1">(#REF!,#REF!)</definedName>
    <definedName name="_15Planilha_3TítLins_6_1" localSheetId="8">#REF!</definedName>
    <definedName name="_15Planilha_3TítLins_6_1" localSheetId="9">#REF!</definedName>
    <definedName name="_15Planilha_3TítLins_6_1">#REF!</definedName>
    <definedName name="_16Tabela_1___Déficit_da_Previdência_Social__RGPS_6_1" localSheetId="8">#REF!</definedName>
    <definedName name="_16Tabela_1___Déficit_da_Previdência_Social__RGPS_6_1" localSheetId="9">#REF!</definedName>
    <definedName name="_16Tabela_1___Déficit_da_Previdência_Social__RGPS_6_1">#REF!</definedName>
    <definedName name="_17Tabela_10___Resultado_Primário_do_Governo_Central_em_1999_6_1" localSheetId="8">#REF!</definedName>
    <definedName name="_17Tabela_10___Resultado_Primário_do_Governo_Central_em_1999_6_1" localSheetId="9">#REF!</definedName>
    <definedName name="_17Tabela_10___Resultado_Primário_do_Governo_Central_em_1999_6_1">#REF!</definedName>
    <definedName name="_18Tabela_2___Contribuições_Previdenciárias_6_1" localSheetId="8">#REF!</definedName>
    <definedName name="_18Tabela_2___Contribuições_Previdenciárias_6_1" localSheetId="9">#REF!</definedName>
    <definedName name="_18Tabela_2___Contribuições_Previdenciárias_6_1">#REF!</definedName>
    <definedName name="_19Tabela_3___Benefícios__previsto_x_realizado_6_1" localSheetId="8">#REF!</definedName>
    <definedName name="_19Tabela_3___Benefícios__previsto_x_realizado_6_1" localSheetId="9">#REF!</definedName>
    <definedName name="_19Tabela_3___Benefícios__previsto_x_realizado_6_1">#REF!</definedName>
    <definedName name="_1Excel_BuiltIn_Print_Area_11_1" localSheetId="8">#REF!</definedName>
    <definedName name="_1Excel_BuiltIn_Print_Area_11_1" localSheetId="9">#REF!</definedName>
    <definedName name="_1Excel_BuiltIn_Print_Area_11_1">#REF!</definedName>
    <definedName name="_20Tabela_4___Receitas_Administradas_pela_SRF__previsto_x_realizado_6_1" localSheetId="8">#REF!</definedName>
    <definedName name="_20Tabela_4___Receitas_Administradas_pela_SRF__previsto_x_realizado_6_1" localSheetId="9">#REF!</definedName>
    <definedName name="_20Tabela_4___Receitas_Administradas_pela_SRF__previsto_x_realizado_6_1">#REF!</definedName>
    <definedName name="_21Tabela_5___Receitas_Administradas_em_Agosto_6_1" localSheetId="8">#REF!</definedName>
    <definedName name="_21Tabela_5___Receitas_Administradas_em_Agosto_6_1" localSheetId="9">#REF!</definedName>
    <definedName name="_21Tabela_5___Receitas_Administradas_em_Agosto_6_1">#REF!</definedName>
    <definedName name="_22Tabela_6___Receitas_Diretamente_Arrecadadas_6_1" localSheetId="8">#REF!</definedName>
    <definedName name="_22Tabela_6___Receitas_Diretamente_Arrecadadas_6_1" localSheetId="9">#REF!</definedName>
    <definedName name="_22Tabela_6___Receitas_Diretamente_Arrecadadas_6_1">#REF!</definedName>
    <definedName name="_23Tabela_7___Déficit_da_Previdência_Social_em_1999_6_1" localSheetId="8">#REF!</definedName>
    <definedName name="_23Tabela_7___Déficit_da_Previdência_Social_em_1999_6_1" localSheetId="9">#REF!</definedName>
    <definedName name="_23Tabela_7___Déficit_da_Previdência_Social_em_1999_6_1">#REF!</definedName>
    <definedName name="_24Tabela_8___Receitas_Administradas__revisão_da_previsão_6_1" localSheetId="8">#REF!</definedName>
    <definedName name="_24Tabela_8___Receitas_Administradas__revisão_da_previsão_6_1" localSheetId="9">#REF!</definedName>
    <definedName name="_24Tabela_8___Receitas_Administradas__revisão_da_previsão_6_1">#REF!</definedName>
    <definedName name="_25Tabela_9___Resultado_Primário_de_1999_6_1" localSheetId="8">#REF!</definedName>
    <definedName name="_25Tabela_9___Resultado_Primário_de_1999_6_1" localSheetId="9">#REF!</definedName>
    <definedName name="_25Tabela_9___Resultado_Primário_de_1999_6_1">#REF!</definedName>
    <definedName name="_2Ganhos_e_perdas_de_receita_6_1" localSheetId="8">#REF!</definedName>
    <definedName name="_2Ganhos_e_perdas_de_receita_6_1" localSheetId="9">#REF!</definedName>
    <definedName name="_2Ganhos_e_perdas_de_receita_6_1">#REF!</definedName>
    <definedName name="_3Ganhos_e_Perdas_de_Receita_99_6_1" localSheetId="8">#REF!</definedName>
    <definedName name="_3Ganhos_e_Perdas_de_Receita_99_6_1" localSheetId="9">#REF!</definedName>
    <definedName name="_3Ganhos_e_Perdas_de_Receita_99_6_1">#REF!</definedName>
    <definedName name="_4Planilha_1ÁreaTotal_6_1" localSheetId="8">(#REF!,#REF!)</definedName>
    <definedName name="_4Planilha_1ÁreaTotal_6_1" localSheetId="9">(#REF!,#REF!)</definedName>
    <definedName name="_4Planilha_1ÁreaTotal_6_1">(#REF!,#REF!)</definedName>
    <definedName name="_5Planilha_1CabGráfico_6_1" localSheetId="8">#REF!</definedName>
    <definedName name="_5Planilha_1CabGráfico_6_1" localSheetId="9">#REF!</definedName>
    <definedName name="_5Planilha_1CabGráfico_6_1">#REF!</definedName>
    <definedName name="_6Planilha_1TítCols_6_1" localSheetId="8">(#REF!,#REF!)</definedName>
    <definedName name="_6Planilha_1TítCols_6_1" localSheetId="9">(#REF!,#REF!)</definedName>
    <definedName name="_6Planilha_1TítCols_6_1">(#REF!,#REF!)</definedName>
    <definedName name="_7Planilha_1TítLins_6_1" localSheetId="8">#REF!</definedName>
    <definedName name="_7Planilha_1TítLins_6_1" localSheetId="9">#REF!</definedName>
    <definedName name="_7Planilha_1TítLins_6_1">#REF!</definedName>
    <definedName name="_8Planilha_2ÁreaTotal_6_1" localSheetId="8">(#REF!,#REF!)</definedName>
    <definedName name="_8Planilha_2ÁreaTotal_6_1" localSheetId="9">(#REF!,#REF!)</definedName>
    <definedName name="_8Planilha_2ÁreaTotal_6_1">(#REF!,#REF!)</definedName>
    <definedName name="_9Planilha_2CabGráfico_6_1" localSheetId="8">#REF!</definedName>
    <definedName name="_9Planilha_2CabGráfico_6_1" localSheetId="9">#REF!</definedName>
    <definedName name="_9Planilha_2CabGráfico_6_1">#REF!</definedName>
    <definedName name="_xlfn.BAHTTEXT" hidden="1">#NAME?</definedName>
    <definedName name="_xlfn.IFERROR" hidden="1">#NAME?</definedName>
    <definedName name="_xlfn.SINGLE" hidden="1">#NAME?</definedName>
    <definedName name="_xlnm.Print_Area" localSheetId="0">'Anexo 1 _ BAL ORC'!$A$1:$K$106</definedName>
    <definedName name="_xlnm.Print_Area" localSheetId="8">'Anexo 12 _ SAÚDE'!$A$1:$L$172</definedName>
    <definedName name="_xlnm.Print_Area" localSheetId="9">'Anexo 13 _PPP'!$A$1:$L$44</definedName>
    <definedName name="_xlnm.Print_Area" localSheetId="10">'Anexo 14 _ Simplificado'!$A$1:$E$103</definedName>
    <definedName name="_xlnm.Print_Area" localSheetId="1">'Anexo 2 _ DP FUNC'!$K$1:$W$150</definedName>
    <definedName name="_xlnm.Print_Area" localSheetId="2">'Anexo 3 _ RCL'!$A$1:$Q$52</definedName>
    <definedName name="_xlnm.Print_Area" localSheetId="3">'Anexo 4 _ PREVID '!$A$1:$J$160</definedName>
    <definedName name="_xlnm.Print_Area" localSheetId="4">'Anexo 6 _ RES PRIM e NOM'!$A$1:$P$127</definedName>
    <definedName name="_xlnm.Print_Area" localSheetId="6">'Anexo 7 _  RP'!$A$1:$M$32</definedName>
    <definedName name="_xlnm.Print_Area" localSheetId="7">'Anexo 8 _ ENSINO'!$A$1:$I$179</definedName>
    <definedName name="Detalhes_do_Demonstrativo_MDE" localSheetId="8">#REF!</definedName>
    <definedName name="Detalhes_do_Demonstrativo_MDE" localSheetId="9">#REF!</definedName>
    <definedName name="Detalhes_do_Demonstrativo_MDE">#REF!</definedName>
    <definedName name="Detalhes_do_Demonstrativo_MDE_10" localSheetId="8">#REF!</definedName>
    <definedName name="Detalhes_do_Demonstrativo_MDE_10" localSheetId="9">#REF!</definedName>
    <definedName name="Detalhes_do_Demonstrativo_MDE_10">#REF!</definedName>
    <definedName name="Detalhes_do_Demonstrativo_MDE_11" localSheetId="8">'[1]Anexo X _ ENSINO'!#REF!</definedName>
    <definedName name="Detalhes_do_Demonstrativo_MDE_11" localSheetId="9">'[1]Anexo X _ ENSINO'!#REF!</definedName>
    <definedName name="Detalhes_do_Demonstrativo_MDE_11">'[1]Anexo X _ ENSINO'!#REF!</definedName>
    <definedName name="Detalhes_do_Demonstrativo_MDE_12" localSheetId="8">'[2]Anexo X _ ENSINO'!#REF!</definedName>
    <definedName name="Detalhes_do_Demonstrativo_MDE_12" localSheetId="9">'[2]Anexo X _ ENSINO'!#REF!</definedName>
    <definedName name="Detalhes_do_Demonstrativo_MDE_12">'[2]Anexo X _ ENSINO'!#REF!</definedName>
    <definedName name="Detalhes_do_Demonstrativo_MDE_13" localSheetId="8">'[1]Anexo X _ ENSINO'!#REF!</definedName>
    <definedName name="Detalhes_do_Demonstrativo_MDE_13" localSheetId="9">'[1]Anexo X _ ENSINO'!#REF!</definedName>
    <definedName name="Detalhes_do_Demonstrativo_MDE_13">'[1]Anexo X _ ENSINO'!#REF!</definedName>
    <definedName name="Detalhes_do_Demonstrativo_MDE_14" localSheetId="8">'[3]Anexo X _ ENSINO'!#REF!</definedName>
    <definedName name="Detalhes_do_Demonstrativo_MDE_14" localSheetId="9">'[3]Anexo X _ ENSINO'!#REF!</definedName>
    <definedName name="Detalhes_do_Demonstrativo_MDE_14">'[3]Anexo X _ ENSINO'!#REF!</definedName>
    <definedName name="Detalhes_do_Demonstrativo_MDE_15" localSheetId="8">'[4]Anexo X _ ENSINO'!#REF!</definedName>
    <definedName name="Detalhes_do_Demonstrativo_MDE_15" localSheetId="9">'[4]Anexo X _ ENSINO'!#REF!</definedName>
    <definedName name="Detalhes_do_Demonstrativo_MDE_15">'[4]Anexo X _ ENSINO'!#REF!</definedName>
    <definedName name="Detalhes_do_Demonstrativo_MDE_3" localSheetId="8">#REF!</definedName>
    <definedName name="Detalhes_do_Demonstrativo_MDE_3" localSheetId="9">#REF!</definedName>
    <definedName name="Detalhes_do_Demonstrativo_MDE_3">#REF!</definedName>
    <definedName name="Detalhes_do_Demonstrativo_MDE_4" localSheetId="8">'[5]Anexo X _ ENSINO'!#REF!</definedName>
    <definedName name="Detalhes_do_Demonstrativo_MDE_4" localSheetId="9">'[5]Anexo X _ ENSINO'!#REF!</definedName>
    <definedName name="Detalhes_do_Demonstrativo_MDE_4">'[5]Anexo X _ ENSINO'!#REF!</definedName>
    <definedName name="Detalhes_do_Demonstrativo_MDE_7" localSheetId="8">'[4]Anexo X _ ENSINO'!#REF!</definedName>
    <definedName name="Detalhes_do_Demonstrativo_MDE_7" localSheetId="9">'[4]Anexo X _ ENSINO'!#REF!</definedName>
    <definedName name="Detalhes_do_Demonstrativo_MDE_7">'[4]Anexo X _ ENSINO'!#REF!</definedName>
    <definedName name="Detalhes_do_Demonstrativo_MDE_8" localSheetId="8">'[4]Anexo X _ ENSINO'!#REF!</definedName>
    <definedName name="Detalhes_do_Demonstrativo_MDE_8" localSheetId="9">'[4]Anexo X _ ENSINO'!#REF!</definedName>
    <definedName name="Detalhes_do_Demonstrativo_MDE_8">'[4]Anexo X _ ENSINO'!#REF!</definedName>
    <definedName name="Detalhes_do_Demonstrativo_MDE_9" localSheetId="8">'[4]Anexo X _ ENSINO'!#REF!</definedName>
    <definedName name="Detalhes_do_Demonstrativo_MDE_9" localSheetId="9">'[4]Anexo X _ ENSINO'!#REF!</definedName>
    <definedName name="Detalhes_do_Demonstrativo_MDE_9">'[4]Anexo X _ ENSINO'!#REF!</definedName>
    <definedName name="Excel_BuiltIn_Print_Area_12" localSheetId="8">#REF!</definedName>
    <definedName name="Excel_BuiltIn_Print_Area_12" localSheetId="9">#REF!</definedName>
    <definedName name="Excel_BuiltIn_Print_Area_12">#REF!</definedName>
    <definedName name="Excel_BuiltIn_Print_Area_13" localSheetId="8">#REF!</definedName>
    <definedName name="Excel_BuiltIn_Print_Area_13" localSheetId="9">#REF!</definedName>
    <definedName name="Excel_BuiltIn_Print_Area_13">#REF!</definedName>
    <definedName name="Excel_BuiltIn_Print_Area_7" localSheetId="8">#REF!</definedName>
    <definedName name="Excel_BuiltIn_Print_Area_7" localSheetId="9">#REF!</definedName>
    <definedName name="Excel_BuiltIn_Print_Area_7">#REF!</definedName>
    <definedName name="Ganhos_e_perdas_de_receita" localSheetId="8">#REF!</definedName>
    <definedName name="Ganhos_e_perdas_de_receita" localSheetId="9">#REF!</definedName>
    <definedName name="Ganhos_e_perdas_de_receita">#REF!</definedName>
    <definedName name="Ganhos_e_perdas_de_receita_11" localSheetId="8">#REF!</definedName>
    <definedName name="Ganhos_e_perdas_de_receita_11" localSheetId="9">#REF!</definedName>
    <definedName name="Ganhos_e_perdas_de_receita_11">#REF!</definedName>
    <definedName name="Ganhos_e_perdas_de_receita_12" localSheetId="8">#REF!</definedName>
    <definedName name="Ganhos_e_perdas_de_receita_12" localSheetId="9">#REF!</definedName>
    <definedName name="Ganhos_e_perdas_de_receita_12">#REF!</definedName>
    <definedName name="Ganhos_e_perdas_de_receita_13" localSheetId="8">#REF!</definedName>
    <definedName name="Ganhos_e_perdas_de_receita_13" localSheetId="9">#REF!</definedName>
    <definedName name="Ganhos_e_perdas_de_receita_13">#REF!</definedName>
    <definedName name="Ganhos_e_perdas_de_receita_14" localSheetId="8">#REF!</definedName>
    <definedName name="Ganhos_e_perdas_de_receita_14" localSheetId="9">#REF!</definedName>
    <definedName name="Ganhos_e_perdas_de_receita_14">#REF!</definedName>
    <definedName name="Ganhos_e_perdas_de_receita_2" localSheetId="8">#REF!</definedName>
    <definedName name="Ganhos_e_perdas_de_receita_2" localSheetId="9">#REF!</definedName>
    <definedName name="Ganhos_e_perdas_de_receita_2">#REF!</definedName>
    <definedName name="Ganhos_e_perdas_de_receita_4" localSheetId="8">#REF!</definedName>
    <definedName name="Ganhos_e_perdas_de_receita_4" localSheetId="9">#REF!</definedName>
    <definedName name="Ganhos_e_perdas_de_receita_4">#REF!</definedName>
    <definedName name="Ganhos_e_perdas_de_receita_6" localSheetId="8">#REF!</definedName>
    <definedName name="Ganhos_e_perdas_de_receita_6" localSheetId="9">#REF!</definedName>
    <definedName name="Ganhos_e_perdas_de_receita_6">#REF!</definedName>
    <definedName name="Ganhos_e_perdas_de_receita_8" localSheetId="8">#REF!</definedName>
    <definedName name="Ganhos_e_perdas_de_receita_8" localSheetId="9">#REF!</definedName>
    <definedName name="Ganhos_e_perdas_de_receita_8">#REF!</definedName>
    <definedName name="Ganhos_e_Perdas_de_Receita_99" localSheetId="8">#REF!</definedName>
    <definedName name="Ganhos_e_Perdas_de_Receita_99" localSheetId="9">#REF!</definedName>
    <definedName name="Ganhos_e_Perdas_de_Receita_99">#REF!</definedName>
    <definedName name="Ganhos_e_Perdas_de_Receita_99_11" localSheetId="8">#REF!</definedName>
    <definedName name="Ganhos_e_Perdas_de_Receita_99_11" localSheetId="9">#REF!</definedName>
    <definedName name="Ganhos_e_Perdas_de_Receita_99_11">#REF!</definedName>
    <definedName name="Ganhos_e_Perdas_de_Receita_99_12" localSheetId="8">#REF!</definedName>
    <definedName name="Ganhos_e_Perdas_de_Receita_99_12" localSheetId="9">#REF!</definedName>
    <definedName name="Ganhos_e_Perdas_de_Receita_99_12">#REF!</definedName>
    <definedName name="Ganhos_e_Perdas_de_Receita_99_13" localSheetId="8">#REF!</definedName>
    <definedName name="Ganhos_e_Perdas_de_Receita_99_13" localSheetId="9">#REF!</definedName>
    <definedName name="Ganhos_e_Perdas_de_Receita_99_13">#REF!</definedName>
    <definedName name="Ganhos_e_Perdas_de_Receita_99_14" localSheetId="8">#REF!</definedName>
    <definedName name="Ganhos_e_Perdas_de_Receita_99_14" localSheetId="9">#REF!</definedName>
    <definedName name="Ganhos_e_Perdas_de_Receita_99_14">#REF!</definedName>
    <definedName name="Ganhos_e_Perdas_de_Receita_99_2" localSheetId="8">#REF!</definedName>
    <definedName name="Ganhos_e_Perdas_de_Receita_99_2" localSheetId="9">#REF!</definedName>
    <definedName name="Ganhos_e_Perdas_de_Receita_99_2">#REF!</definedName>
    <definedName name="Ganhos_e_Perdas_de_Receita_99_4" localSheetId="8">#REF!</definedName>
    <definedName name="Ganhos_e_Perdas_de_Receita_99_4" localSheetId="9">#REF!</definedName>
    <definedName name="Ganhos_e_Perdas_de_Receita_99_4">#REF!</definedName>
    <definedName name="Ganhos_e_Perdas_de_Receita_99_6" localSheetId="8">#REF!</definedName>
    <definedName name="Ganhos_e_Perdas_de_Receita_99_6" localSheetId="9">#REF!</definedName>
    <definedName name="Ganhos_e_Perdas_de_Receita_99_6">#REF!</definedName>
    <definedName name="Ganhos_e_Perdas_de_Receita_99_8" localSheetId="8">#REF!</definedName>
    <definedName name="Ganhos_e_Perdas_de_Receita_99_8" localSheetId="9">#REF!</definedName>
    <definedName name="Ganhos_e_Perdas_de_Receita_99_8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8">(#REF!,#REF!)</definedName>
    <definedName name="Planilha_1ÁreaTotal" localSheetId="9">(#REF!,#REF!)</definedName>
    <definedName name="Planilha_1ÁreaTotal">(#REF!,#REF!)</definedName>
    <definedName name="Planilha_1ÁreaTotal_11" localSheetId="8">(#REF!,#REF!)</definedName>
    <definedName name="Planilha_1ÁreaTotal_11" localSheetId="9">(#REF!,#REF!)</definedName>
    <definedName name="Planilha_1ÁreaTotal_11">(#REF!,#REF!)</definedName>
    <definedName name="Planilha_1ÁreaTotal_12" localSheetId="8">(#REF!,#REF!)</definedName>
    <definedName name="Planilha_1ÁreaTotal_12" localSheetId="9">(#REF!,#REF!)</definedName>
    <definedName name="Planilha_1ÁreaTotal_12">(#REF!,#REF!)</definedName>
    <definedName name="Planilha_1ÁreaTotal_13" localSheetId="8">(#REF!,#REF!)</definedName>
    <definedName name="Planilha_1ÁreaTotal_13" localSheetId="9">(#REF!,#REF!)</definedName>
    <definedName name="Planilha_1ÁreaTotal_13">(#REF!,#REF!)</definedName>
    <definedName name="Planilha_1ÁreaTotal_14" localSheetId="8">(#REF!,#REF!)</definedName>
    <definedName name="Planilha_1ÁreaTotal_14" localSheetId="9">(#REF!,#REF!)</definedName>
    <definedName name="Planilha_1ÁreaTotal_14">(#REF!,#REF!)</definedName>
    <definedName name="Planilha_1ÁreaTotal_2" localSheetId="8">(#REF!,#REF!)</definedName>
    <definedName name="Planilha_1ÁreaTotal_2" localSheetId="9">(#REF!,#REF!)</definedName>
    <definedName name="Planilha_1ÁreaTotal_2">(#REF!,#REF!)</definedName>
    <definedName name="Planilha_1ÁreaTotal_4" localSheetId="8">(#REF!,#REF!)</definedName>
    <definedName name="Planilha_1ÁreaTotal_4" localSheetId="9">(#REF!,#REF!)</definedName>
    <definedName name="Planilha_1ÁreaTotal_4">(#REF!,#REF!)</definedName>
    <definedName name="Planilha_1ÁreaTotal_6" localSheetId="8">#REF!,#REF!</definedName>
    <definedName name="Planilha_1ÁreaTotal_6" localSheetId="9">#REF!,#REF!</definedName>
    <definedName name="Planilha_1ÁreaTotal_6">#REF!,#REF!</definedName>
    <definedName name="Planilha_1ÁreaTotal_7" localSheetId="8">(#REF!,#REF!)</definedName>
    <definedName name="Planilha_1ÁreaTotal_7" localSheetId="9">(#REF!,#REF!)</definedName>
    <definedName name="Planilha_1ÁreaTotal_7">(#REF!,#REF!)</definedName>
    <definedName name="Planilha_1ÁreaTotal_8" localSheetId="8">#REF!,#REF!</definedName>
    <definedName name="Planilha_1ÁreaTotal_8" localSheetId="9">#REF!,#REF!</definedName>
    <definedName name="Planilha_1ÁreaTotal_8">#REF!,#REF!</definedName>
    <definedName name="Planilha_1ÁreaTotal_9" localSheetId="8">(#REF!,#REF!)</definedName>
    <definedName name="Planilha_1ÁreaTotal_9" localSheetId="9">(#REF!,#REF!)</definedName>
    <definedName name="Planilha_1ÁreaTotal_9">(#REF!,#REF!)</definedName>
    <definedName name="Planilha_1CabGráfico" localSheetId="8">#REF!</definedName>
    <definedName name="Planilha_1CabGráfico" localSheetId="9">#REF!</definedName>
    <definedName name="Planilha_1CabGráfico">#REF!</definedName>
    <definedName name="Planilha_1CabGráfico_11" localSheetId="8">#REF!</definedName>
    <definedName name="Planilha_1CabGráfico_11" localSheetId="9">#REF!</definedName>
    <definedName name="Planilha_1CabGráfico_11">#REF!</definedName>
    <definedName name="Planilha_1CabGráfico_12" localSheetId="8">#REF!</definedName>
    <definedName name="Planilha_1CabGráfico_12" localSheetId="9">#REF!</definedName>
    <definedName name="Planilha_1CabGráfico_12">#REF!</definedName>
    <definedName name="Planilha_1CabGráfico_13" localSheetId="8">#REF!</definedName>
    <definedName name="Planilha_1CabGráfico_13" localSheetId="9">#REF!</definedName>
    <definedName name="Planilha_1CabGráfico_13">#REF!</definedName>
    <definedName name="Planilha_1CabGráfico_14" localSheetId="8">#REF!</definedName>
    <definedName name="Planilha_1CabGráfico_14" localSheetId="9">#REF!</definedName>
    <definedName name="Planilha_1CabGráfico_14">#REF!</definedName>
    <definedName name="Planilha_1CabGráfico_2" localSheetId="8">#REF!</definedName>
    <definedName name="Planilha_1CabGráfico_2" localSheetId="9">#REF!</definedName>
    <definedName name="Planilha_1CabGráfico_2">#REF!</definedName>
    <definedName name="Planilha_1CabGráfico_4" localSheetId="8">#REF!</definedName>
    <definedName name="Planilha_1CabGráfico_4" localSheetId="9">#REF!</definedName>
    <definedName name="Planilha_1CabGráfico_4">#REF!</definedName>
    <definedName name="Planilha_1CabGráfico_6" localSheetId="8">#REF!</definedName>
    <definedName name="Planilha_1CabGráfico_6" localSheetId="9">#REF!</definedName>
    <definedName name="Planilha_1CabGráfico_6">#REF!</definedName>
    <definedName name="Planilha_1CabGráfico_7" localSheetId="8">#REF!</definedName>
    <definedName name="Planilha_1CabGráfico_7" localSheetId="9">#REF!</definedName>
    <definedName name="Planilha_1CabGráfico_7">#REF!</definedName>
    <definedName name="Planilha_1CabGráfico_8" localSheetId="8">#REF!</definedName>
    <definedName name="Planilha_1CabGráfico_8" localSheetId="9">#REF!</definedName>
    <definedName name="Planilha_1CabGráfico_8">#REF!</definedName>
    <definedName name="Planilha_1CabGráfico_9" localSheetId="8">#REF!</definedName>
    <definedName name="Planilha_1CabGráfico_9" localSheetId="9">#REF!</definedName>
    <definedName name="Planilha_1CabGráfico_9">#REF!</definedName>
    <definedName name="Planilha_1TítCols" localSheetId="8">(#REF!,#REF!)</definedName>
    <definedName name="Planilha_1TítCols" localSheetId="9">(#REF!,#REF!)</definedName>
    <definedName name="Planilha_1TítCols">(#REF!,#REF!)</definedName>
    <definedName name="Planilha_1TítCols_11" localSheetId="8">(#REF!,#REF!)</definedName>
    <definedName name="Planilha_1TítCols_11" localSheetId="9">(#REF!,#REF!)</definedName>
    <definedName name="Planilha_1TítCols_11">(#REF!,#REF!)</definedName>
    <definedName name="Planilha_1TítCols_12" localSheetId="8">(#REF!,#REF!)</definedName>
    <definedName name="Planilha_1TítCols_12" localSheetId="9">(#REF!,#REF!)</definedName>
    <definedName name="Planilha_1TítCols_12">(#REF!,#REF!)</definedName>
    <definedName name="Planilha_1TítCols_13" localSheetId="8">(#REF!,#REF!)</definedName>
    <definedName name="Planilha_1TítCols_13" localSheetId="9">(#REF!,#REF!)</definedName>
    <definedName name="Planilha_1TítCols_13">(#REF!,#REF!)</definedName>
    <definedName name="Planilha_1TítCols_14" localSheetId="8">(#REF!,#REF!)</definedName>
    <definedName name="Planilha_1TítCols_14" localSheetId="9">(#REF!,#REF!)</definedName>
    <definedName name="Planilha_1TítCols_14">(#REF!,#REF!)</definedName>
    <definedName name="Planilha_1TítCols_2" localSheetId="8">(#REF!,#REF!)</definedName>
    <definedName name="Planilha_1TítCols_2" localSheetId="9">(#REF!,#REF!)</definedName>
    <definedName name="Planilha_1TítCols_2">(#REF!,#REF!)</definedName>
    <definedName name="Planilha_1TítCols_4" localSheetId="8">(#REF!,#REF!)</definedName>
    <definedName name="Planilha_1TítCols_4" localSheetId="9">(#REF!,#REF!)</definedName>
    <definedName name="Planilha_1TítCols_4">(#REF!,#REF!)</definedName>
    <definedName name="Planilha_1TítCols_6" localSheetId="8">#REF!,#REF!</definedName>
    <definedName name="Planilha_1TítCols_6" localSheetId="9">#REF!,#REF!</definedName>
    <definedName name="Planilha_1TítCols_6">#REF!,#REF!</definedName>
    <definedName name="Planilha_1TítCols_7" localSheetId="8">(#REF!,#REF!)</definedName>
    <definedName name="Planilha_1TítCols_7" localSheetId="9">(#REF!,#REF!)</definedName>
    <definedName name="Planilha_1TítCols_7">(#REF!,#REF!)</definedName>
    <definedName name="Planilha_1TítCols_8" localSheetId="8">#REF!,#REF!</definedName>
    <definedName name="Planilha_1TítCols_8" localSheetId="9">#REF!,#REF!</definedName>
    <definedName name="Planilha_1TítCols_8">#REF!,#REF!</definedName>
    <definedName name="Planilha_1TítCols_9" localSheetId="8">(#REF!,#REF!)</definedName>
    <definedName name="Planilha_1TítCols_9" localSheetId="9">(#REF!,#REF!)</definedName>
    <definedName name="Planilha_1TítCols_9">(#REF!,#REF!)</definedName>
    <definedName name="Planilha_1TítLins" localSheetId="8">#REF!</definedName>
    <definedName name="Planilha_1TítLins" localSheetId="9">#REF!</definedName>
    <definedName name="Planilha_1TítLins">#REF!</definedName>
    <definedName name="Planilha_1TítLins_11" localSheetId="8">#REF!</definedName>
    <definedName name="Planilha_1TítLins_11" localSheetId="9">#REF!</definedName>
    <definedName name="Planilha_1TítLins_11">#REF!</definedName>
    <definedName name="Planilha_1TítLins_12" localSheetId="8">#REF!</definedName>
    <definedName name="Planilha_1TítLins_12" localSheetId="9">#REF!</definedName>
    <definedName name="Planilha_1TítLins_12">#REF!</definedName>
    <definedName name="Planilha_1TítLins_13" localSheetId="8">#REF!</definedName>
    <definedName name="Planilha_1TítLins_13" localSheetId="9">#REF!</definedName>
    <definedName name="Planilha_1TítLins_13">#REF!</definedName>
    <definedName name="Planilha_1TítLins_14" localSheetId="8">#REF!</definedName>
    <definedName name="Planilha_1TítLins_14" localSheetId="9">#REF!</definedName>
    <definedName name="Planilha_1TítLins_14">#REF!</definedName>
    <definedName name="Planilha_1TítLins_2" localSheetId="8">#REF!</definedName>
    <definedName name="Planilha_1TítLins_2" localSheetId="9">#REF!</definedName>
    <definedName name="Planilha_1TítLins_2">#REF!</definedName>
    <definedName name="Planilha_1TítLins_4" localSheetId="8">#REF!</definedName>
    <definedName name="Planilha_1TítLins_4" localSheetId="9">#REF!</definedName>
    <definedName name="Planilha_1TítLins_4">#REF!</definedName>
    <definedName name="Planilha_1TítLins_6" localSheetId="8">#REF!</definedName>
    <definedName name="Planilha_1TítLins_6" localSheetId="9">#REF!</definedName>
    <definedName name="Planilha_1TítLins_6">#REF!</definedName>
    <definedName name="Planilha_1TítLins_7" localSheetId="8">#REF!</definedName>
    <definedName name="Planilha_1TítLins_7" localSheetId="9">#REF!</definedName>
    <definedName name="Planilha_1TítLins_7">#REF!</definedName>
    <definedName name="Planilha_1TítLins_8" localSheetId="8">#REF!</definedName>
    <definedName name="Planilha_1TítLins_8" localSheetId="9">#REF!</definedName>
    <definedName name="Planilha_1TítLins_8">#REF!</definedName>
    <definedName name="Planilha_1TítLins_9" localSheetId="8">#REF!</definedName>
    <definedName name="Planilha_1TítLins_9" localSheetId="9">#REF!</definedName>
    <definedName name="Planilha_1TítLins_9">#REF!</definedName>
    <definedName name="Planilha_2ÁreaTotal" localSheetId="8">(#REF!,#REF!)</definedName>
    <definedName name="Planilha_2ÁreaTotal" localSheetId="9">(#REF!,#REF!)</definedName>
    <definedName name="Planilha_2ÁreaTotal">(#REF!,#REF!)</definedName>
    <definedName name="Planilha_2ÁreaTotal_11" localSheetId="8">(#REF!,#REF!)</definedName>
    <definedName name="Planilha_2ÁreaTotal_11" localSheetId="9">(#REF!,#REF!)</definedName>
    <definedName name="Planilha_2ÁreaTotal_11">(#REF!,#REF!)</definedName>
    <definedName name="Planilha_2ÁreaTotal_12" localSheetId="8">(#REF!,#REF!)</definedName>
    <definedName name="Planilha_2ÁreaTotal_12" localSheetId="9">(#REF!,#REF!)</definedName>
    <definedName name="Planilha_2ÁreaTotal_12">(#REF!,#REF!)</definedName>
    <definedName name="Planilha_2ÁreaTotal_13" localSheetId="8">(#REF!,#REF!)</definedName>
    <definedName name="Planilha_2ÁreaTotal_13" localSheetId="9">(#REF!,#REF!)</definedName>
    <definedName name="Planilha_2ÁreaTotal_13">(#REF!,#REF!)</definedName>
    <definedName name="Planilha_2ÁreaTotal_14" localSheetId="8">(#REF!,#REF!)</definedName>
    <definedName name="Planilha_2ÁreaTotal_14" localSheetId="9">(#REF!,#REF!)</definedName>
    <definedName name="Planilha_2ÁreaTotal_14">(#REF!,#REF!)</definedName>
    <definedName name="Planilha_2ÁreaTotal_2" localSheetId="8">(#REF!,#REF!)</definedName>
    <definedName name="Planilha_2ÁreaTotal_2" localSheetId="9">(#REF!,#REF!)</definedName>
    <definedName name="Planilha_2ÁreaTotal_2">(#REF!,#REF!)</definedName>
    <definedName name="Planilha_2ÁreaTotal_4" localSheetId="8">(#REF!,#REF!)</definedName>
    <definedName name="Planilha_2ÁreaTotal_4" localSheetId="9">(#REF!,#REF!)</definedName>
    <definedName name="Planilha_2ÁreaTotal_4">(#REF!,#REF!)</definedName>
    <definedName name="Planilha_2ÁreaTotal_6" localSheetId="8">#REF!,#REF!</definedName>
    <definedName name="Planilha_2ÁreaTotal_6" localSheetId="9">#REF!,#REF!</definedName>
    <definedName name="Planilha_2ÁreaTotal_6">#REF!,#REF!</definedName>
    <definedName name="Planilha_2ÁreaTotal_8" localSheetId="8">#REF!,#REF!</definedName>
    <definedName name="Planilha_2ÁreaTotal_8" localSheetId="9">#REF!,#REF!</definedName>
    <definedName name="Planilha_2ÁreaTotal_8">#REF!,#REF!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CabGráfico_11" localSheetId="8">#REF!</definedName>
    <definedName name="Planilha_2CabGráfico_11" localSheetId="9">#REF!</definedName>
    <definedName name="Planilha_2CabGráfico_11">#REF!</definedName>
    <definedName name="Planilha_2CabGráfico_12" localSheetId="8">#REF!</definedName>
    <definedName name="Planilha_2CabGráfico_12" localSheetId="9">#REF!</definedName>
    <definedName name="Planilha_2CabGráfico_12">#REF!</definedName>
    <definedName name="Planilha_2CabGráfico_13" localSheetId="8">#REF!</definedName>
    <definedName name="Planilha_2CabGráfico_13" localSheetId="9">#REF!</definedName>
    <definedName name="Planilha_2CabGráfico_13">#REF!</definedName>
    <definedName name="Planilha_2CabGráfico_14" localSheetId="8">#REF!</definedName>
    <definedName name="Planilha_2CabGráfico_14" localSheetId="9">#REF!</definedName>
    <definedName name="Planilha_2CabGráfico_14">#REF!</definedName>
    <definedName name="Planilha_2CabGráfico_2" localSheetId="8">#REF!</definedName>
    <definedName name="Planilha_2CabGráfico_2" localSheetId="9">#REF!</definedName>
    <definedName name="Planilha_2CabGráfico_2">#REF!</definedName>
    <definedName name="Planilha_2CabGráfico_4" localSheetId="8">#REF!</definedName>
    <definedName name="Planilha_2CabGráfico_4" localSheetId="9">#REF!</definedName>
    <definedName name="Planilha_2CabGráfico_4">#REF!</definedName>
    <definedName name="Planilha_2CabGráfico_6" localSheetId="8">#REF!</definedName>
    <definedName name="Planilha_2CabGráfico_6" localSheetId="9">#REF!</definedName>
    <definedName name="Planilha_2CabGráfico_6">#REF!</definedName>
    <definedName name="Planilha_2CabGráfico_8" localSheetId="8">#REF!</definedName>
    <definedName name="Planilha_2CabGráfico_8" localSheetId="9">#REF!</definedName>
    <definedName name="Planilha_2CabGráfico_8">#REF!</definedName>
    <definedName name="Planilha_2TítCols" localSheetId="8">(#REF!,#REF!)</definedName>
    <definedName name="Planilha_2TítCols" localSheetId="9">(#REF!,#REF!)</definedName>
    <definedName name="Planilha_2TítCols">(#REF!,#REF!)</definedName>
    <definedName name="Planilha_2TítCols_11" localSheetId="8">(#REF!,#REF!)</definedName>
    <definedName name="Planilha_2TítCols_11" localSheetId="9">(#REF!,#REF!)</definedName>
    <definedName name="Planilha_2TítCols_11">(#REF!,#REF!)</definedName>
    <definedName name="Planilha_2TítCols_12" localSheetId="8">(#REF!,#REF!)</definedName>
    <definedName name="Planilha_2TítCols_12" localSheetId="9">(#REF!,#REF!)</definedName>
    <definedName name="Planilha_2TítCols_12">(#REF!,#REF!)</definedName>
    <definedName name="Planilha_2TítCols_13" localSheetId="8">(#REF!,#REF!)</definedName>
    <definedName name="Planilha_2TítCols_13" localSheetId="9">(#REF!,#REF!)</definedName>
    <definedName name="Planilha_2TítCols_13">(#REF!,#REF!)</definedName>
    <definedName name="Planilha_2TítCols_14" localSheetId="8">(#REF!,#REF!)</definedName>
    <definedName name="Planilha_2TítCols_14" localSheetId="9">(#REF!,#REF!)</definedName>
    <definedName name="Planilha_2TítCols_14">(#REF!,#REF!)</definedName>
    <definedName name="Planilha_2TítCols_2" localSheetId="8">(#REF!,#REF!)</definedName>
    <definedName name="Planilha_2TítCols_2" localSheetId="9">(#REF!,#REF!)</definedName>
    <definedName name="Planilha_2TítCols_2">(#REF!,#REF!)</definedName>
    <definedName name="Planilha_2TítCols_4" localSheetId="8">(#REF!,#REF!)</definedName>
    <definedName name="Planilha_2TítCols_4" localSheetId="9">(#REF!,#REF!)</definedName>
    <definedName name="Planilha_2TítCols_4">(#REF!,#REF!)</definedName>
    <definedName name="Planilha_2TítCols_6" localSheetId="8">#REF!,#REF!</definedName>
    <definedName name="Planilha_2TítCols_6" localSheetId="9">#REF!,#REF!</definedName>
    <definedName name="Planilha_2TítCols_6">#REF!,#REF!</definedName>
    <definedName name="Planilha_2TítCols_8" localSheetId="8">#REF!,#REF!</definedName>
    <definedName name="Planilha_2TítCols_8" localSheetId="9">#REF!,#REF!</definedName>
    <definedName name="Planilha_2TítCols_8">#REF!,#REF!</definedName>
    <definedName name="Planilha_2TítLins" localSheetId="8">#REF!</definedName>
    <definedName name="Planilha_2TítLins" localSheetId="9">#REF!</definedName>
    <definedName name="Planilha_2TítLins">#REF!</definedName>
    <definedName name="Planilha_2TítLins_11" localSheetId="8">#REF!</definedName>
    <definedName name="Planilha_2TítLins_11" localSheetId="9">#REF!</definedName>
    <definedName name="Planilha_2TítLins_11">#REF!</definedName>
    <definedName name="Planilha_2TítLins_12" localSheetId="8">#REF!</definedName>
    <definedName name="Planilha_2TítLins_12" localSheetId="9">#REF!</definedName>
    <definedName name="Planilha_2TítLins_12">#REF!</definedName>
    <definedName name="Planilha_2TítLins_13" localSheetId="8">#REF!</definedName>
    <definedName name="Planilha_2TítLins_13" localSheetId="9">#REF!</definedName>
    <definedName name="Planilha_2TítLins_13">#REF!</definedName>
    <definedName name="Planilha_2TítLins_14" localSheetId="8">#REF!</definedName>
    <definedName name="Planilha_2TítLins_14" localSheetId="9">#REF!</definedName>
    <definedName name="Planilha_2TítLins_14">#REF!</definedName>
    <definedName name="Planilha_2TítLins_2" localSheetId="8">#REF!</definedName>
    <definedName name="Planilha_2TítLins_2" localSheetId="9">#REF!</definedName>
    <definedName name="Planilha_2TítLins_2">#REF!</definedName>
    <definedName name="Planilha_2TítLins_4" localSheetId="8">#REF!</definedName>
    <definedName name="Planilha_2TítLins_4" localSheetId="9">#REF!</definedName>
    <definedName name="Planilha_2TítLins_4">#REF!</definedName>
    <definedName name="Planilha_2TítLins_6" localSheetId="8">#REF!</definedName>
    <definedName name="Planilha_2TítLins_6" localSheetId="9">#REF!</definedName>
    <definedName name="Planilha_2TítLins_6">#REF!</definedName>
    <definedName name="Planilha_2TítLins_8" localSheetId="8">#REF!</definedName>
    <definedName name="Planilha_2TítLins_8" localSheetId="9">#REF!</definedName>
    <definedName name="Planilha_2TítLins_8">#REF!</definedName>
    <definedName name="Planilha_3ÁreaTotal" localSheetId="8">(#REF!,#REF!)</definedName>
    <definedName name="Planilha_3ÁreaTotal" localSheetId="9">(#REF!,#REF!)</definedName>
    <definedName name="Planilha_3ÁreaTotal">(#REF!,#REF!)</definedName>
    <definedName name="Planilha_3ÁreaTotal_11" localSheetId="8">(#REF!,#REF!)</definedName>
    <definedName name="Planilha_3ÁreaTotal_11" localSheetId="9">(#REF!,#REF!)</definedName>
    <definedName name="Planilha_3ÁreaTotal_11">(#REF!,#REF!)</definedName>
    <definedName name="Planilha_3ÁreaTotal_12" localSheetId="8">(#REF!,#REF!)</definedName>
    <definedName name="Planilha_3ÁreaTotal_12" localSheetId="9">(#REF!,#REF!)</definedName>
    <definedName name="Planilha_3ÁreaTotal_12">(#REF!,#REF!)</definedName>
    <definedName name="Planilha_3ÁreaTotal_13" localSheetId="8">(#REF!,#REF!)</definedName>
    <definedName name="Planilha_3ÁreaTotal_13" localSheetId="9">(#REF!,#REF!)</definedName>
    <definedName name="Planilha_3ÁreaTotal_13">(#REF!,#REF!)</definedName>
    <definedName name="Planilha_3ÁreaTotal_14" localSheetId="8">(#REF!,#REF!)</definedName>
    <definedName name="Planilha_3ÁreaTotal_14" localSheetId="9">(#REF!,#REF!)</definedName>
    <definedName name="Planilha_3ÁreaTotal_14">(#REF!,#REF!)</definedName>
    <definedName name="Planilha_3ÁreaTotal_2" localSheetId="8">(#REF!,#REF!)</definedName>
    <definedName name="Planilha_3ÁreaTotal_2" localSheetId="9">(#REF!,#REF!)</definedName>
    <definedName name="Planilha_3ÁreaTotal_2">(#REF!,#REF!)</definedName>
    <definedName name="Planilha_3ÁreaTotal_4" localSheetId="8">(#REF!,#REF!)</definedName>
    <definedName name="Planilha_3ÁreaTotal_4" localSheetId="9">(#REF!,#REF!)</definedName>
    <definedName name="Planilha_3ÁreaTotal_4">(#REF!,#REF!)</definedName>
    <definedName name="Planilha_3ÁreaTotal_6" localSheetId="8">#REF!,#REF!</definedName>
    <definedName name="Planilha_3ÁreaTotal_6" localSheetId="9">#REF!,#REF!</definedName>
    <definedName name="Planilha_3ÁreaTotal_6">#REF!,#REF!</definedName>
    <definedName name="Planilha_3ÁreaTotal_8" localSheetId="8">#REF!,#REF!</definedName>
    <definedName name="Planilha_3ÁreaTotal_8" localSheetId="9">#REF!,#REF!</definedName>
    <definedName name="Planilha_3ÁreaTotal_8">#REF!,#REF!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CabGráfico_11" localSheetId="8">#REF!</definedName>
    <definedName name="Planilha_3CabGráfico_11" localSheetId="9">#REF!</definedName>
    <definedName name="Planilha_3CabGráfico_11">#REF!</definedName>
    <definedName name="Planilha_3CabGráfico_12" localSheetId="8">#REF!</definedName>
    <definedName name="Planilha_3CabGráfico_12" localSheetId="9">#REF!</definedName>
    <definedName name="Planilha_3CabGráfico_12">#REF!</definedName>
    <definedName name="Planilha_3CabGráfico_13" localSheetId="8">#REF!</definedName>
    <definedName name="Planilha_3CabGráfico_13" localSheetId="9">#REF!</definedName>
    <definedName name="Planilha_3CabGráfico_13">#REF!</definedName>
    <definedName name="Planilha_3CabGráfico_14" localSheetId="8">#REF!</definedName>
    <definedName name="Planilha_3CabGráfico_14" localSheetId="9">#REF!</definedName>
    <definedName name="Planilha_3CabGráfico_14">#REF!</definedName>
    <definedName name="Planilha_3CabGráfico_2" localSheetId="8">#REF!</definedName>
    <definedName name="Planilha_3CabGráfico_2" localSheetId="9">#REF!</definedName>
    <definedName name="Planilha_3CabGráfico_2">#REF!</definedName>
    <definedName name="Planilha_3CabGráfico_4" localSheetId="8">#REF!</definedName>
    <definedName name="Planilha_3CabGráfico_4" localSheetId="9">#REF!</definedName>
    <definedName name="Planilha_3CabGráfico_4">#REF!</definedName>
    <definedName name="Planilha_3CabGráfico_6" localSheetId="8">#REF!</definedName>
    <definedName name="Planilha_3CabGráfico_6" localSheetId="9">#REF!</definedName>
    <definedName name="Planilha_3CabGráfico_6">#REF!</definedName>
    <definedName name="Planilha_3CabGráfico_8" localSheetId="8">#REF!</definedName>
    <definedName name="Planilha_3CabGráfico_8" localSheetId="9">#REF!</definedName>
    <definedName name="Planilha_3CabGráfico_8">#REF!</definedName>
    <definedName name="Planilha_3TítCols" localSheetId="8">(#REF!,#REF!)</definedName>
    <definedName name="Planilha_3TítCols" localSheetId="9">(#REF!,#REF!)</definedName>
    <definedName name="Planilha_3TítCols">(#REF!,#REF!)</definedName>
    <definedName name="Planilha_3TítCols_11" localSheetId="8">(#REF!,#REF!)</definedName>
    <definedName name="Planilha_3TítCols_11" localSheetId="9">(#REF!,#REF!)</definedName>
    <definedName name="Planilha_3TítCols_11">(#REF!,#REF!)</definedName>
    <definedName name="Planilha_3TítCols_12" localSheetId="8">(#REF!,#REF!)</definedName>
    <definedName name="Planilha_3TítCols_12" localSheetId="9">(#REF!,#REF!)</definedName>
    <definedName name="Planilha_3TítCols_12">(#REF!,#REF!)</definedName>
    <definedName name="Planilha_3TítCols_13" localSheetId="8">(#REF!,#REF!)</definedName>
    <definedName name="Planilha_3TítCols_13" localSheetId="9">(#REF!,#REF!)</definedName>
    <definedName name="Planilha_3TítCols_13">(#REF!,#REF!)</definedName>
    <definedName name="Planilha_3TítCols_14" localSheetId="8">(#REF!,#REF!)</definedName>
    <definedName name="Planilha_3TítCols_14" localSheetId="9">(#REF!,#REF!)</definedName>
    <definedName name="Planilha_3TítCols_14">(#REF!,#REF!)</definedName>
    <definedName name="Planilha_3TítCols_2" localSheetId="8">(#REF!,#REF!)</definedName>
    <definedName name="Planilha_3TítCols_2" localSheetId="9">(#REF!,#REF!)</definedName>
    <definedName name="Planilha_3TítCols_2">(#REF!,#REF!)</definedName>
    <definedName name="Planilha_3TítCols_4" localSheetId="8">(#REF!,#REF!)</definedName>
    <definedName name="Planilha_3TítCols_4" localSheetId="9">(#REF!,#REF!)</definedName>
    <definedName name="Planilha_3TítCols_4">(#REF!,#REF!)</definedName>
    <definedName name="Planilha_3TítCols_6" localSheetId="8">#REF!,#REF!</definedName>
    <definedName name="Planilha_3TítCols_6" localSheetId="9">#REF!,#REF!</definedName>
    <definedName name="Planilha_3TítCols_6">#REF!,#REF!</definedName>
    <definedName name="Planilha_3TítCols_8" localSheetId="8">#REF!,#REF!</definedName>
    <definedName name="Planilha_3TítCols_8" localSheetId="9">#REF!,#REF!</definedName>
    <definedName name="Planilha_3TítCols_8">#REF!,#REF!</definedName>
    <definedName name="Planilha_3TítLins" localSheetId="8">#REF!</definedName>
    <definedName name="Planilha_3TítLins" localSheetId="9">#REF!</definedName>
    <definedName name="Planilha_3TítLins">#REF!</definedName>
    <definedName name="Planilha_3TítLins_11" localSheetId="8">#REF!</definedName>
    <definedName name="Planilha_3TítLins_11" localSheetId="9">#REF!</definedName>
    <definedName name="Planilha_3TítLins_11">#REF!</definedName>
    <definedName name="Planilha_3TítLins_12" localSheetId="8">#REF!</definedName>
    <definedName name="Planilha_3TítLins_12" localSheetId="9">#REF!</definedName>
    <definedName name="Planilha_3TítLins_12">#REF!</definedName>
    <definedName name="Planilha_3TítLins_13" localSheetId="8">#REF!</definedName>
    <definedName name="Planilha_3TítLins_13" localSheetId="9">#REF!</definedName>
    <definedName name="Planilha_3TítLins_13">#REF!</definedName>
    <definedName name="Planilha_3TítLins_14" localSheetId="8">#REF!</definedName>
    <definedName name="Planilha_3TítLins_14" localSheetId="9">#REF!</definedName>
    <definedName name="Planilha_3TítLins_14">#REF!</definedName>
    <definedName name="Planilha_3TítLins_2" localSheetId="8">#REF!</definedName>
    <definedName name="Planilha_3TítLins_2" localSheetId="9">#REF!</definedName>
    <definedName name="Planilha_3TítLins_2">#REF!</definedName>
    <definedName name="Planilha_3TítLins_4" localSheetId="8">#REF!</definedName>
    <definedName name="Planilha_3TítLins_4" localSheetId="9">#REF!</definedName>
    <definedName name="Planilha_3TítLins_4">#REF!</definedName>
    <definedName name="Planilha_3TítLins_6" localSheetId="8">#REF!</definedName>
    <definedName name="Planilha_3TítLins_6" localSheetId="9">#REF!</definedName>
    <definedName name="Planilha_3TítLins_6">#REF!</definedName>
    <definedName name="Planilha_3TítLins_8" localSheetId="8">#REF!</definedName>
    <definedName name="Planilha_3TítLins_8" localSheetId="9">#REF!</definedName>
    <definedName name="Planilha_3TítLins_8">#REF!</definedName>
    <definedName name="Planilha_4ÁreaTotal" localSheetId="8">(#REF!,#REF!)</definedName>
    <definedName name="Planilha_4ÁreaTotal" localSheetId="9">(#REF!,#REF!)</definedName>
    <definedName name="Planilha_4ÁreaTotal">(#REF!,#REF!)</definedName>
    <definedName name="Planilha_4ÁreaTotal_6" localSheetId="8">#REF!,#REF!</definedName>
    <definedName name="Planilha_4ÁreaTotal_6" localSheetId="9">#REF!,#REF!</definedName>
    <definedName name="Planilha_4ÁreaTotal_6">#REF!,#REF!</definedName>
    <definedName name="Planilha_4ÁreaTotal_8" localSheetId="8">#REF!,#REF!</definedName>
    <definedName name="Planilha_4ÁreaTotal_8" localSheetId="9">#REF!,#REF!</definedName>
    <definedName name="Planilha_4ÁreaTotal_8">#REF!,#REF!</definedName>
    <definedName name="Planilha_4TítCols" localSheetId="8">(#REF!,#REF!)</definedName>
    <definedName name="Planilha_4TítCols" localSheetId="9">(#REF!,#REF!)</definedName>
    <definedName name="Planilha_4TítCols">(#REF!,#REF!)</definedName>
    <definedName name="Planilha_4TítCols_6" localSheetId="8">#REF!,#REF!</definedName>
    <definedName name="Planilha_4TítCols_6" localSheetId="9">#REF!,#REF!</definedName>
    <definedName name="Planilha_4TítCols_6">#REF!,#REF!</definedName>
    <definedName name="Planilha_4TítCols_8" localSheetId="8">#REF!,#REF!</definedName>
    <definedName name="Planilha_4TítCols_8" localSheetId="9">#REF!,#REF!</definedName>
    <definedName name="Planilha_4TítCols_8">#REF!,#REF!</definedName>
    <definedName name="Tabela_1___Déficit_da_Previdência_Social__RGPS" localSheetId="8">#REF!</definedName>
    <definedName name="Tabela_1___Déficit_da_Previdência_Social__RGPS" localSheetId="9">#REF!</definedName>
    <definedName name="Tabela_1___Déficit_da_Previdência_Social__RGPS">#REF!</definedName>
    <definedName name="Tabela_1___Déficit_da_Previdência_Social__RGPS_11" localSheetId="8">#REF!</definedName>
    <definedName name="Tabela_1___Déficit_da_Previdência_Social__RGPS_11" localSheetId="9">#REF!</definedName>
    <definedName name="Tabela_1___Déficit_da_Previdência_Social__RGPS_11">#REF!</definedName>
    <definedName name="Tabela_1___Déficit_da_Previdência_Social__RGPS_12" localSheetId="8">#REF!</definedName>
    <definedName name="Tabela_1___Déficit_da_Previdência_Social__RGPS_12" localSheetId="9">#REF!</definedName>
    <definedName name="Tabela_1___Déficit_da_Previdência_Social__RGPS_12">#REF!</definedName>
    <definedName name="Tabela_1___Déficit_da_Previdência_Social__RGPS_13" localSheetId="8">#REF!</definedName>
    <definedName name="Tabela_1___Déficit_da_Previdência_Social__RGPS_13" localSheetId="9">#REF!</definedName>
    <definedName name="Tabela_1___Déficit_da_Previdência_Social__RGPS_13">#REF!</definedName>
    <definedName name="Tabela_1___Déficit_da_Previdência_Social__RGPS_14" localSheetId="8">#REF!</definedName>
    <definedName name="Tabela_1___Déficit_da_Previdência_Social__RGPS_14" localSheetId="9">#REF!</definedName>
    <definedName name="Tabela_1___Déficit_da_Previdência_Social__RGPS_14">#REF!</definedName>
    <definedName name="Tabela_1___Déficit_da_Previdência_Social__RGPS_2" localSheetId="8">#REF!</definedName>
    <definedName name="Tabela_1___Déficit_da_Previdência_Social__RGPS_2" localSheetId="9">#REF!</definedName>
    <definedName name="Tabela_1___Déficit_da_Previdência_Social__RGPS_2">#REF!</definedName>
    <definedName name="Tabela_1___Déficit_da_Previdência_Social__RGPS_4" localSheetId="8">#REF!</definedName>
    <definedName name="Tabela_1___Déficit_da_Previdência_Social__RGPS_4" localSheetId="9">#REF!</definedName>
    <definedName name="Tabela_1___Déficit_da_Previdência_Social__RGPS_4">#REF!</definedName>
    <definedName name="Tabela_1___Déficit_da_Previdência_Social__RGPS_6" localSheetId="8">#REF!</definedName>
    <definedName name="Tabela_1___Déficit_da_Previdência_Social__RGPS_6" localSheetId="9">#REF!</definedName>
    <definedName name="Tabela_1___Déficit_da_Previdência_Social__RGPS_6">#REF!</definedName>
    <definedName name="Tabela_1___Déficit_da_Previdência_Social__RGPS_8" localSheetId="8">#REF!</definedName>
    <definedName name="Tabela_1___Déficit_da_Previdência_Social__RGPS_8" localSheetId="9">#REF!</definedName>
    <definedName name="Tabela_1___Déficit_da_Previdência_Social__RGPS_8">#REF!</definedName>
    <definedName name="Tabela_10___Resultado_Primário_do_Governo_Central_em_1999" localSheetId="8">#REF!</definedName>
    <definedName name="Tabela_10___Resultado_Primário_do_Governo_Central_em_1999" localSheetId="9">#REF!</definedName>
    <definedName name="Tabela_10___Resultado_Primário_do_Governo_Central_em_1999">#REF!</definedName>
    <definedName name="Tabela_10___Resultado_Primário_do_Governo_Central_em_1999_11" localSheetId="8">#REF!</definedName>
    <definedName name="Tabela_10___Resultado_Primário_do_Governo_Central_em_1999_11" localSheetId="9">#REF!</definedName>
    <definedName name="Tabela_10___Resultado_Primário_do_Governo_Central_em_1999_11">#REF!</definedName>
    <definedName name="Tabela_10___Resultado_Primário_do_Governo_Central_em_1999_12" localSheetId="8">#REF!</definedName>
    <definedName name="Tabela_10___Resultado_Primário_do_Governo_Central_em_1999_12" localSheetId="9">#REF!</definedName>
    <definedName name="Tabela_10___Resultado_Primário_do_Governo_Central_em_1999_12">#REF!</definedName>
    <definedName name="Tabela_10___Resultado_Primário_do_Governo_Central_em_1999_13" localSheetId="8">#REF!</definedName>
    <definedName name="Tabela_10___Resultado_Primário_do_Governo_Central_em_1999_13" localSheetId="9">#REF!</definedName>
    <definedName name="Tabela_10___Resultado_Primário_do_Governo_Central_em_1999_13">#REF!</definedName>
    <definedName name="Tabela_10___Resultado_Primário_do_Governo_Central_em_1999_14" localSheetId="8">#REF!</definedName>
    <definedName name="Tabela_10___Resultado_Primário_do_Governo_Central_em_1999_14" localSheetId="9">#REF!</definedName>
    <definedName name="Tabela_10___Resultado_Primário_do_Governo_Central_em_1999_14">#REF!</definedName>
    <definedName name="Tabela_10___Resultado_Primário_do_Governo_Central_em_1999_2" localSheetId="8">#REF!</definedName>
    <definedName name="Tabela_10___Resultado_Primário_do_Governo_Central_em_1999_2" localSheetId="9">#REF!</definedName>
    <definedName name="Tabela_10___Resultado_Primário_do_Governo_Central_em_1999_2">#REF!</definedName>
    <definedName name="Tabela_10___Resultado_Primário_do_Governo_Central_em_1999_4" localSheetId="8">#REF!</definedName>
    <definedName name="Tabela_10___Resultado_Primário_do_Governo_Central_em_1999_4" localSheetId="9">#REF!</definedName>
    <definedName name="Tabela_10___Resultado_Primário_do_Governo_Central_em_1999_4">#REF!</definedName>
    <definedName name="Tabela_10___Resultado_Primário_do_Governo_Central_em_1999_6" localSheetId="8">#REF!</definedName>
    <definedName name="Tabela_10___Resultado_Primário_do_Governo_Central_em_1999_6" localSheetId="9">#REF!</definedName>
    <definedName name="Tabela_10___Resultado_Primário_do_Governo_Central_em_1999_6">#REF!</definedName>
    <definedName name="Tabela_10___Resultado_Primário_do_Governo_Central_em_1999_8" localSheetId="8">#REF!</definedName>
    <definedName name="Tabela_10___Resultado_Primário_do_Governo_Central_em_1999_8" localSheetId="9">#REF!</definedName>
    <definedName name="Tabela_10___Resultado_Primário_do_Governo_Central_em_1999_8">#REF!</definedName>
    <definedName name="Tabela_2___Contribuições_Previdenciárias" localSheetId="8">#REF!</definedName>
    <definedName name="Tabela_2___Contribuições_Previdenciárias" localSheetId="9">#REF!</definedName>
    <definedName name="Tabela_2___Contribuições_Previdenciárias">#REF!</definedName>
    <definedName name="Tabela_2___Contribuições_Previdenciárias_11" localSheetId="8">#REF!</definedName>
    <definedName name="Tabela_2___Contribuições_Previdenciárias_11" localSheetId="9">#REF!</definedName>
    <definedName name="Tabela_2___Contribuições_Previdenciárias_11">#REF!</definedName>
    <definedName name="Tabela_2___Contribuições_Previdenciárias_12" localSheetId="8">#REF!</definedName>
    <definedName name="Tabela_2___Contribuições_Previdenciárias_12" localSheetId="9">#REF!</definedName>
    <definedName name="Tabela_2___Contribuições_Previdenciárias_12">#REF!</definedName>
    <definedName name="Tabela_2___Contribuições_Previdenciárias_13" localSheetId="8">#REF!</definedName>
    <definedName name="Tabela_2___Contribuições_Previdenciárias_13" localSheetId="9">#REF!</definedName>
    <definedName name="Tabela_2___Contribuições_Previdenciárias_13">#REF!</definedName>
    <definedName name="Tabela_2___Contribuições_Previdenciárias_14" localSheetId="8">#REF!</definedName>
    <definedName name="Tabela_2___Contribuições_Previdenciárias_14" localSheetId="9">#REF!</definedName>
    <definedName name="Tabela_2___Contribuições_Previdenciárias_14">#REF!</definedName>
    <definedName name="Tabela_2___Contribuições_Previdenciárias_2" localSheetId="8">#REF!</definedName>
    <definedName name="Tabela_2___Contribuições_Previdenciárias_2" localSheetId="9">#REF!</definedName>
    <definedName name="Tabela_2___Contribuições_Previdenciárias_2">#REF!</definedName>
    <definedName name="Tabela_2___Contribuições_Previdenciárias_4" localSheetId="8">#REF!</definedName>
    <definedName name="Tabela_2___Contribuições_Previdenciárias_4" localSheetId="9">#REF!</definedName>
    <definedName name="Tabela_2___Contribuições_Previdenciárias_4">#REF!</definedName>
    <definedName name="Tabela_2___Contribuições_Previdenciárias_6" localSheetId="8">#REF!</definedName>
    <definedName name="Tabela_2___Contribuições_Previdenciárias_6" localSheetId="9">#REF!</definedName>
    <definedName name="Tabela_2___Contribuições_Previdenciárias_6">#REF!</definedName>
    <definedName name="Tabela_2___Contribuições_Previdenciárias_8" localSheetId="8">#REF!</definedName>
    <definedName name="Tabela_2___Contribuições_Previdenciárias_8" localSheetId="9">#REF!</definedName>
    <definedName name="Tabela_2___Contribuições_Previdenciárias_8">#REF!</definedName>
    <definedName name="Tabela_3___Benefícios__previsto_x_realizado" localSheetId="8">#REF!</definedName>
    <definedName name="Tabela_3___Benefícios__previsto_x_realizado" localSheetId="9">#REF!</definedName>
    <definedName name="Tabela_3___Benefícios__previsto_x_realizado">#REF!</definedName>
    <definedName name="Tabela_3___Benefícios__previsto_x_realizado_11" localSheetId="8">#REF!</definedName>
    <definedName name="Tabela_3___Benefícios__previsto_x_realizado_11" localSheetId="9">#REF!</definedName>
    <definedName name="Tabela_3___Benefícios__previsto_x_realizado_11">#REF!</definedName>
    <definedName name="Tabela_3___Benefícios__previsto_x_realizado_12" localSheetId="8">#REF!</definedName>
    <definedName name="Tabela_3___Benefícios__previsto_x_realizado_12" localSheetId="9">#REF!</definedName>
    <definedName name="Tabela_3___Benefícios__previsto_x_realizado_12">#REF!</definedName>
    <definedName name="Tabela_3___Benefícios__previsto_x_realizado_13" localSheetId="8">#REF!</definedName>
    <definedName name="Tabela_3___Benefícios__previsto_x_realizado_13" localSheetId="9">#REF!</definedName>
    <definedName name="Tabela_3___Benefícios__previsto_x_realizado_13">#REF!</definedName>
    <definedName name="Tabela_3___Benefícios__previsto_x_realizado_14" localSheetId="8">#REF!</definedName>
    <definedName name="Tabela_3___Benefícios__previsto_x_realizado_14" localSheetId="9">#REF!</definedName>
    <definedName name="Tabela_3___Benefícios__previsto_x_realizado_14">#REF!</definedName>
    <definedName name="Tabela_3___Benefícios__previsto_x_realizado_2" localSheetId="8">#REF!</definedName>
    <definedName name="Tabela_3___Benefícios__previsto_x_realizado_2" localSheetId="9">#REF!</definedName>
    <definedName name="Tabela_3___Benefícios__previsto_x_realizado_2">#REF!</definedName>
    <definedName name="Tabela_3___Benefícios__previsto_x_realizado_4" localSheetId="8">#REF!</definedName>
    <definedName name="Tabela_3___Benefícios__previsto_x_realizado_4" localSheetId="9">#REF!</definedName>
    <definedName name="Tabela_3___Benefícios__previsto_x_realizado_4">#REF!</definedName>
    <definedName name="Tabela_3___Benefícios__previsto_x_realizado_6" localSheetId="8">#REF!</definedName>
    <definedName name="Tabela_3___Benefícios__previsto_x_realizado_6" localSheetId="9">#REF!</definedName>
    <definedName name="Tabela_3___Benefícios__previsto_x_realizado_6">#REF!</definedName>
    <definedName name="Tabela_3___Benefícios__previsto_x_realizado_8" localSheetId="8">#REF!</definedName>
    <definedName name="Tabela_3___Benefícios__previsto_x_realizado_8" localSheetId="9">#REF!</definedName>
    <definedName name="Tabela_3___Benefícios__previsto_x_realizado_8">#REF!</definedName>
    <definedName name="Tabela_4___Receitas_Administradas_pela_SRF__previsto_x_realizado" localSheetId="8">#REF!</definedName>
    <definedName name="Tabela_4___Receitas_Administradas_pela_SRF__previsto_x_realizado" localSheetId="9">#REF!</definedName>
    <definedName name="Tabela_4___Receitas_Administradas_pela_SRF__previsto_x_realizado">#REF!</definedName>
    <definedName name="Tabela_4___Receitas_Administradas_pela_SRF__previsto_x_realizado_11" localSheetId="8">#REF!</definedName>
    <definedName name="Tabela_4___Receitas_Administradas_pela_SRF__previsto_x_realizado_11" localSheetId="9">#REF!</definedName>
    <definedName name="Tabela_4___Receitas_Administradas_pela_SRF__previsto_x_realizado_11">#REF!</definedName>
    <definedName name="Tabela_4___Receitas_Administradas_pela_SRF__previsto_x_realizado_12" localSheetId="8">#REF!</definedName>
    <definedName name="Tabela_4___Receitas_Administradas_pela_SRF__previsto_x_realizado_12" localSheetId="9">#REF!</definedName>
    <definedName name="Tabela_4___Receitas_Administradas_pela_SRF__previsto_x_realizado_12">#REF!</definedName>
    <definedName name="Tabela_4___Receitas_Administradas_pela_SRF__previsto_x_realizado_13" localSheetId="8">#REF!</definedName>
    <definedName name="Tabela_4___Receitas_Administradas_pela_SRF__previsto_x_realizado_13" localSheetId="9">#REF!</definedName>
    <definedName name="Tabela_4___Receitas_Administradas_pela_SRF__previsto_x_realizado_13">#REF!</definedName>
    <definedName name="Tabela_4___Receitas_Administradas_pela_SRF__previsto_x_realizado_14" localSheetId="8">#REF!</definedName>
    <definedName name="Tabela_4___Receitas_Administradas_pela_SRF__previsto_x_realizado_14" localSheetId="9">#REF!</definedName>
    <definedName name="Tabela_4___Receitas_Administradas_pela_SRF__previsto_x_realizado_14">#REF!</definedName>
    <definedName name="Tabela_4___Receitas_Administradas_pela_SRF__previsto_x_realizado_2" localSheetId="8">#REF!</definedName>
    <definedName name="Tabela_4___Receitas_Administradas_pela_SRF__previsto_x_realizado_2" localSheetId="9">#REF!</definedName>
    <definedName name="Tabela_4___Receitas_Administradas_pela_SRF__previsto_x_realizado_2">#REF!</definedName>
    <definedName name="Tabela_4___Receitas_Administradas_pela_SRF__previsto_x_realizado_4" localSheetId="8">#REF!</definedName>
    <definedName name="Tabela_4___Receitas_Administradas_pela_SRF__previsto_x_realizado_4" localSheetId="9">#REF!</definedName>
    <definedName name="Tabela_4___Receitas_Administradas_pela_SRF__previsto_x_realizado_4">#REF!</definedName>
    <definedName name="Tabela_4___Receitas_Administradas_pela_SRF__previsto_x_realizado_6" localSheetId="8">#REF!</definedName>
    <definedName name="Tabela_4___Receitas_Administradas_pela_SRF__previsto_x_realizado_6" localSheetId="9">#REF!</definedName>
    <definedName name="Tabela_4___Receitas_Administradas_pela_SRF__previsto_x_realizado_6">#REF!</definedName>
    <definedName name="Tabela_4___Receitas_Administradas_pela_SRF__previsto_x_realizado_8" localSheetId="8">#REF!</definedName>
    <definedName name="Tabela_4___Receitas_Administradas_pela_SRF__previsto_x_realizado_8" localSheetId="9">#REF!</definedName>
    <definedName name="Tabela_4___Receitas_Administradas_pela_SRF__previsto_x_realizado_8">#REF!</definedName>
    <definedName name="Tabela_5___Receitas_Administradas_em_Agosto" localSheetId="8">#REF!</definedName>
    <definedName name="Tabela_5___Receitas_Administradas_em_Agosto" localSheetId="9">#REF!</definedName>
    <definedName name="Tabela_5___Receitas_Administradas_em_Agosto">#REF!</definedName>
    <definedName name="Tabela_5___Receitas_Administradas_em_Agosto_11" localSheetId="8">#REF!</definedName>
    <definedName name="Tabela_5___Receitas_Administradas_em_Agosto_11" localSheetId="9">#REF!</definedName>
    <definedName name="Tabela_5___Receitas_Administradas_em_Agosto_11">#REF!</definedName>
    <definedName name="Tabela_5___Receitas_Administradas_em_Agosto_12" localSheetId="8">#REF!</definedName>
    <definedName name="Tabela_5___Receitas_Administradas_em_Agosto_12" localSheetId="9">#REF!</definedName>
    <definedName name="Tabela_5___Receitas_Administradas_em_Agosto_12">#REF!</definedName>
    <definedName name="Tabela_5___Receitas_Administradas_em_Agosto_13" localSheetId="8">#REF!</definedName>
    <definedName name="Tabela_5___Receitas_Administradas_em_Agosto_13" localSheetId="9">#REF!</definedName>
    <definedName name="Tabela_5___Receitas_Administradas_em_Agosto_13">#REF!</definedName>
    <definedName name="Tabela_5___Receitas_Administradas_em_Agosto_14" localSheetId="8">#REF!</definedName>
    <definedName name="Tabela_5___Receitas_Administradas_em_Agosto_14" localSheetId="9">#REF!</definedName>
    <definedName name="Tabela_5___Receitas_Administradas_em_Agosto_14">#REF!</definedName>
    <definedName name="Tabela_5___Receitas_Administradas_em_Agosto_2" localSheetId="8">#REF!</definedName>
    <definedName name="Tabela_5___Receitas_Administradas_em_Agosto_2" localSheetId="9">#REF!</definedName>
    <definedName name="Tabela_5___Receitas_Administradas_em_Agosto_2">#REF!</definedName>
    <definedName name="Tabela_5___Receitas_Administradas_em_Agosto_4" localSheetId="8">#REF!</definedName>
    <definedName name="Tabela_5___Receitas_Administradas_em_Agosto_4" localSheetId="9">#REF!</definedName>
    <definedName name="Tabela_5___Receitas_Administradas_em_Agosto_4">#REF!</definedName>
    <definedName name="Tabela_5___Receitas_Administradas_em_Agosto_6" localSheetId="8">#REF!</definedName>
    <definedName name="Tabela_5___Receitas_Administradas_em_Agosto_6" localSheetId="9">#REF!</definedName>
    <definedName name="Tabela_5___Receitas_Administradas_em_Agosto_6">#REF!</definedName>
    <definedName name="Tabela_5___Receitas_Administradas_em_Agosto_8" localSheetId="8">#REF!</definedName>
    <definedName name="Tabela_5___Receitas_Administradas_em_Agosto_8" localSheetId="9">#REF!</definedName>
    <definedName name="Tabela_5___Receitas_Administradas_em_Agosto_8">#REF!</definedName>
    <definedName name="Tabela_6___Receitas_Diretamente_Arrecadadas" localSheetId="8">#REF!</definedName>
    <definedName name="Tabela_6___Receitas_Diretamente_Arrecadadas" localSheetId="9">#REF!</definedName>
    <definedName name="Tabela_6___Receitas_Diretamente_Arrecadadas">#REF!</definedName>
    <definedName name="Tabela_6___Receitas_Diretamente_Arrecadadas_11" localSheetId="8">#REF!</definedName>
    <definedName name="Tabela_6___Receitas_Diretamente_Arrecadadas_11" localSheetId="9">#REF!</definedName>
    <definedName name="Tabela_6___Receitas_Diretamente_Arrecadadas_11">#REF!</definedName>
    <definedName name="Tabela_6___Receitas_Diretamente_Arrecadadas_12" localSheetId="8">#REF!</definedName>
    <definedName name="Tabela_6___Receitas_Diretamente_Arrecadadas_12" localSheetId="9">#REF!</definedName>
    <definedName name="Tabela_6___Receitas_Diretamente_Arrecadadas_12">#REF!</definedName>
    <definedName name="Tabela_6___Receitas_Diretamente_Arrecadadas_13" localSheetId="8">#REF!</definedName>
    <definedName name="Tabela_6___Receitas_Diretamente_Arrecadadas_13" localSheetId="9">#REF!</definedName>
    <definedName name="Tabela_6___Receitas_Diretamente_Arrecadadas_13">#REF!</definedName>
    <definedName name="Tabela_6___Receitas_Diretamente_Arrecadadas_14" localSheetId="8">#REF!</definedName>
    <definedName name="Tabela_6___Receitas_Diretamente_Arrecadadas_14" localSheetId="9">#REF!</definedName>
    <definedName name="Tabela_6___Receitas_Diretamente_Arrecadadas_14">#REF!</definedName>
    <definedName name="Tabela_6___Receitas_Diretamente_Arrecadadas_2" localSheetId="8">#REF!</definedName>
    <definedName name="Tabela_6___Receitas_Diretamente_Arrecadadas_2" localSheetId="9">#REF!</definedName>
    <definedName name="Tabela_6___Receitas_Diretamente_Arrecadadas_2">#REF!</definedName>
    <definedName name="Tabela_6___Receitas_Diretamente_Arrecadadas_4" localSheetId="8">#REF!</definedName>
    <definedName name="Tabela_6___Receitas_Diretamente_Arrecadadas_4" localSheetId="9">#REF!</definedName>
    <definedName name="Tabela_6___Receitas_Diretamente_Arrecadadas_4">#REF!</definedName>
    <definedName name="Tabela_6___Receitas_Diretamente_Arrecadadas_6" localSheetId="8">#REF!</definedName>
    <definedName name="Tabela_6___Receitas_Diretamente_Arrecadadas_6" localSheetId="9">#REF!</definedName>
    <definedName name="Tabela_6___Receitas_Diretamente_Arrecadadas_6">#REF!</definedName>
    <definedName name="Tabela_6___Receitas_Diretamente_Arrecadadas_8" localSheetId="8">#REF!</definedName>
    <definedName name="Tabela_6___Receitas_Diretamente_Arrecadadas_8" localSheetId="9">#REF!</definedName>
    <definedName name="Tabela_6___Receitas_Diretamente_Arrecadadas_8">#REF!</definedName>
    <definedName name="Tabela_7___Déficit_da_Previdência_Social_em_1999" localSheetId="8">#REF!</definedName>
    <definedName name="Tabela_7___Déficit_da_Previdência_Social_em_1999" localSheetId="9">#REF!</definedName>
    <definedName name="Tabela_7___Déficit_da_Previdência_Social_em_1999">#REF!</definedName>
    <definedName name="Tabela_7___Déficit_da_Previdência_Social_em_1999_11" localSheetId="8">#REF!</definedName>
    <definedName name="Tabela_7___Déficit_da_Previdência_Social_em_1999_11" localSheetId="9">#REF!</definedName>
    <definedName name="Tabela_7___Déficit_da_Previdência_Social_em_1999_11">#REF!</definedName>
    <definedName name="Tabela_7___Déficit_da_Previdência_Social_em_1999_12" localSheetId="8">#REF!</definedName>
    <definedName name="Tabela_7___Déficit_da_Previdência_Social_em_1999_12" localSheetId="9">#REF!</definedName>
    <definedName name="Tabela_7___Déficit_da_Previdência_Social_em_1999_12">#REF!</definedName>
    <definedName name="Tabela_7___Déficit_da_Previdência_Social_em_1999_13" localSheetId="8">#REF!</definedName>
    <definedName name="Tabela_7___Déficit_da_Previdência_Social_em_1999_13" localSheetId="9">#REF!</definedName>
    <definedName name="Tabela_7___Déficit_da_Previdência_Social_em_1999_13">#REF!</definedName>
    <definedName name="Tabela_7___Déficit_da_Previdência_Social_em_1999_14" localSheetId="8">#REF!</definedName>
    <definedName name="Tabela_7___Déficit_da_Previdência_Social_em_1999_14" localSheetId="9">#REF!</definedName>
    <definedName name="Tabela_7___Déficit_da_Previdência_Social_em_1999_14">#REF!</definedName>
    <definedName name="Tabela_7___Déficit_da_Previdência_Social_em_1999_2" localSheetId="8">#REF!</definedName>
    <definedName name="Tabela_7___Déficit_da_Previdência_Social_em_1999_2" localSheetId="9">#REF!</definedName>
    <definedName name="Tabela_7___Déficit_da_Previdência_Social_em_1999_2">#REF!</definedName>
    <definedName name="Tabela_7___Déficit_da_Previdência_Social_em_1999_4" localSheetId="8">#REF!</definedName>
    <definedName name="Tabela_7___Déficit_da_Previdência_Social_em_1999_4" localSheetId="9">#REF!</definedName>
    <definedName name="Tabela_7___Déficit_da_Previdência_Social_em_1999_4">#REF!</definedName>
    <definedName name="Tabela_7___Déficit_da_Previdência_Social_em_1999_6" localSheetId="8">#REF!</definedName>
    <definedName name="Tabela_7___Déficit_da_Previdência_Social_em_1999_6" localSheetId="9">#REF!</definedName>
    <definedName name="Tabela_7___Déficit_da_Previdência_Social_em_1999_6">#REF!</definedName>
    <definedName name="Tabela_7___Déficit_da_Previdência_Social_em_1999_8" localSheetId="8">#REF!</definedName>
    <definedName name="Tabela_7___Déficit_da_Previdência_Social_em_1999_8" localSheetId="9">#REF!</definedName>
    <definedName name="Tabela_7___Déficit_da_Previdência_Social_em_1999_8">#REF!</definedName>
    <definedName name="Tabela_8___Receitas_Administradas__revisão_da_previsão" localSheetId="8">#REF!</definedName>
    <definedName name="Tabela_8___Receitas_Administradas__revisão_da_previsão" localSheetId="9">#REF!</definedName>
    <definedName name="Tabela_8___Receitas_Administradas__revisão_da_previsão">#REF!</definedName>
    <definedName name="Tabela_8___Receitas_Administradas__revisão_da_previsão_11" localSheetId="8">#REF!</definedName>
    <definedName name="Tabela_8___Receitas_Administradas__revisão_da_previsão_11" localSheetId="9">#REF!</definedName>
    <definedName name="Tabela_8___Receitas_Administradas__revisão_da_previsão_11">#REF!</definedName>
    <definedName name="Tabela_8___Receitas_Administradas__revisão_da_previsão_12" localSheetId="8">#REF!</definedName>
    <definedName name="Tabela_8___Receitas_Administradas__revisão_da_previsão_12" localSheetId="9">#REF!</definedName>
    <definedName name="Tabela_8___Receitas_Administradas__revisão_da_previsão_12">#REF!</definedName>
    <definedName name="Tabela_8___Receitas_Administradas__revisão_da_previsão_13" localSheetId="8">#REF!</definedName>
    <definedName name="Tabela_8___Receitas_Administradas__revisão_da_previsão_13" localSheetId="9">#REF!</definedName>
    <definedName name="Tabela_8___Receitas_Administradas__revisão_da_previsão_13">#REF!</definedName>
    <definedName name="Tabela_8___Receitas_Administradas__revisão_da_previsão_14" localSheetId="8">#REF!</definedName>
    <definedName name="Tabela_8___Receitas_Administradas__revisão_da_previsão_14" localSheetId="9">#REF!</definedName>
    <definedName name="Tabela_8___Receitas_Administradas__revisão_da_previsão_14">#REF!</definedName>
    <definedName name="Tabela_8___Receitas_Administradas__revisão_da_previsão_2" localSheetId="8">#REF!</definedName>
    <definedName name="Tabela_8___Receitas_Administradas__revisão_da_previsão_2" localSheetId="9">#REF!</definedName>
    <definedName name="Tabela_8___Receitas_Administradas__revisão_da_previsão_2">#REF!</definedName>
    <definedName name="Tabela_8___Receitas_Administradas__revisão_da_previsão_4" localSheetId="8">#REF!</definedName>
    <definedName name="Tabela_8___Receitas_Administradas__revisão_da_previsão_4" localSheetId="9">#REF!</definedName>
    <definedName name="Tabela_8___Receitas_Administradas__revisão_da_previsão_4">#REF!</definedName>
    <definedName name="Tabela_8___Receitas_Administradas__revisão_da_previsão_6" localSheetId="8">#REF!</definedName>
    <definedName name="Tabela_8___Receitas_Administradas__revisão_da_previsão_6" localSheetId="9">#REF!</definedName>
    <definedName name="Tabela_8___Receitas_Administradas__revisão_da_previsão_6">#REF!</definedName>
    <definedName name="Tabela_8___Receitas_Administradas__revisão_da_previsão_8" localSheetId="8">#REF!</definedName>
    <definedName name="Tabela_8___Receitas_Administradas__revisão_da_previsão_8" localSheetId="9">#REF!</definedName>
    <definedName name="Tabela_8___Receitas_Administradas__revisão_da_previsão_8">#REF!</definedName>
    <definedName name="Tabela_9___Resultado_Primário_de_1999" localSheetId="8">#REF!</definedName>
    <definedName name="Tabela_9___Resultado_Primário_de_1999" localSheetId="9">#REF!</definedName>
    <definedName name="Tabela_9___Resultado_Primário_de_1999">#REF!</definedName>
    <definedName name="Tabela_9___Resultado_Primário_de_1999_11" localSheetId="8">#REF!</definedName>
    <definedName name="Tabela_9___Resultado_Primário_de_1999_11" localSheetId="9">#REF!</definedName>
    <definedName name="Tabela_9___Resultado_Primário_de_1999_11">#REF!</definedName>
    <definedName name="Tabela_9___Resultado_Primário_de_1999_12" localSheetId="8">#REF!</definedName>
    <definedName name="Tabela_9___Resultado_Primário_de_1999_12" localSheetId="9">#REF!</definedName>
    <definedName name="Tabela_9___Resultado_Primário_de_1999_12">#REF!</definedName>
    <definedName name="Tabela_9___Resultado_Primário_de_1999_13" localSheetId="8">#REF!</definedName>
    <definedName name="Tabela_9___Resultado_Primário_de_1999_13" localSheetId="9">#REF!</definedName>
    <definedName name="Tabela_9___Resultado_Primário_de_1999_13">#REF!</definedName>
    <definedName name="Tabela_9___Resultado_Primário_de_1999_14" localSheetId="8">#REF!</definedName>
    <definedName name="Tabela_9___Resultado_Primário_de_1999_14" localSheetId="9">#REF!</definedName>
    <definedName name="Tabela_9___Resultado_Primário_de_1999_14">#REF!</definedName>
    <definedName name="Tabela_9___Resultado_Primário_de_1999_2" localSheetId="8">#REF!</definedName>
    <definedName name="Tabela_9___Resultado_Primário_de_1999_2" localSheetId="9">#REF!</definedName>
    <definedName name="Tabela_9___Resultado_Primário_de_1999_2">#REF!</definedName>
    <definedName name="Tabela_9___Resultado_Primário_de_1999_4" localSheetId="8">#REF!</definedName>
    <definedName name="Tabela_9___Resultado_Primário_de_1999_4" localSheetId="9">#REF!</definedName>
    <definedName name="Tabela_9___Resultado_Primário_de_1999_4">#REF!</definedName>
    <definedName name="Tabela_9___Resultado_Primário_de_1999_6" localSheetId="8">#REF!</definedName>
    <definedName name="Tabela_9___Resultado_Primário_de_1999_6" localSheetId="9">#REF!</definedName>
    <definedName name="Tabela_9___Resultado_Primário_de_1999_6">#REF!</definedName>
    <definedName name="Tabela_9___Resultado_Primário_de_1999_8" localSheetId="8">#REF!</definedName>
    <definedName name="Tabela_9___Resultado_Primário_de_1999_8" localSheetId="9">#REF!</definedName>
    <definedName name="Tabela_9___Resultado_Primário_de_1999_8">#REF!</definedName>
    <definedName name="_xlnm.Print_Titles" localSheetId="0">'Anexo 1 _ BAL ORC'!$2:$7</definedName>
    <definedName name="_xlnm.Print_Titles" localSheetId="8">'Anexo 12 _ SAÚDE'!$1:$6</definedName>
    <definedName name="_xlnm.Print_Titles" localSheetId="10">'Anexo 14 _ Simplificado'!$1:$6</definedName>
    <definedName name="_xlnm.Print_Titles" localSheetId="1">'Anexo 2 _ DP FUNC'!$1:$11</definedName>
    <definedName name="_xlnm.Print_Titles" localSheetId="3">'Anexo 4 _ PREVID '!$1:$7</definedName>
    <definedName name="_xlnm.Print_Titles" localSheetId="4">'Anexo 6 _ RES PRIM e NOM'!$1:$7</definedName>
    <definedName name="_xlnm.Print_Titles" localSheetId="6">'Anexo 7 _  RP'!$1:$10</definedName>
    <definedName name="_xlnm.Print_Titles" localSheetId="7">'Anexo 8 _ ENSINO'!$1:$7</definedName>
  </definedNames>
  <calcPr fullCalcOnLoad="1"/>
</workbook>
</file>

<file path=xl/comments1.xml><?xml version="1.0" encoding="utf-8"?>
<comments xmlns="http://schemas.openxmlformats.org/spreadsheetml/2006/main">
  <authors>
    <author>durvalfbf</author>
    <author>Lutero Almeida Vieira</author>
  </authors>
  <commentList>
    <comment ref="B26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=Transferências Intergovernamentais - deduções da receita do FUNDEB</t>
        </r>
      </text>
    </comment>
    <comment ref="C26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=Transferências da União E/M - deduções da receita do FUNDEB</t>
        </r>
      </text>
    </comment>
    <comment ref="C27" authorId="1">
      <text>
        <r>
          <rPr>
            <b/>
            <sz val="9"/>
            <rFont val="Segoe UI"/>
            <family val="2"/>
          </rPr>
          <t xml:space="preserve">Lutero Almeida Vieira:
=Transf Estados E/M-Dedução do Fundeb
</t>
        </r>
      </text>
    </comment>
  </commentList>
</comments>
</file>

<file path=xl/comments5.xml><?xml version="1.0" encoding="utf-8"?>
<comments xmlns="http://schemas.openxmlformats.org/spreadsheetml/2006/main">
  <authors>
    <author>Lutero Almeida Vieira</author>
  </authors>
  <commentList>
    <comment ref="B33" authorId="0">
      <text>
        <r>
          <rPr>
            <b/>
            <sz val="9"/>
            <rFont val="Segoe UI"/>
            <family val="2"/>
          </rPr>
          <t>Lutero Almeida Vieira:</t>
        </r>
        <r>
          <rPr>
            <sz val="9"/>
            <rFont val="Segoe UI"/>
            <family val="2"/>
          </rPr>
          <t xml:space="preserve">
=Receitas Correntes Diversas + Receita de serviço
</t>
        </r>
      </text>
    </comment>
  </commentList>
</comments>
</file>

<file path=xl/sharedStrings.xml><?xml version="1.0" encoding="utf-8"?>
<sst xmlns="http://schemas.openxmlformats.org/spreadsheetml/2006/main" count="1245" uniqueCount="959">
  <si>
    <t>RELATÓRIO RESUMIDO DA EXECUÇÃO ORÇAMENTÁRIA</t>
  </si>
  <si>
    <t>ORÇAMENTOS FISCAL E DA SEGURIDADE SOCIAL</t>
  </si>
  <si>
    <t>RECEITAS</t>
  </si>
  <si>
    <t xml:space="preserve"> PREVISÃO INICIAL </t>
  </si>
  <si>
    <t xml:space="preserve"> RECEITAS REALIZADAS </t>
  </si>
  <si>
    <t xml:space="preserve"> No Bimestre </t>
  </si>
  <si>
    <t>RECEITAS CORRENTES</t>
  </si>
  <si>
    <t>Impostos</t>
  </si>
  <si>
    <t>Taxas</t>
  </si>
  <si>
    <t xml:space="preserve"> -   </t>
  </si>
  <si>
    <t>Contribuicões Sociais</t>
  </si>
  <si>
    <t>RECEITA PATRIMONIAL</t>
  </si>
  <si>
    <t>Receitas Imobiliárias</t>
  </si>
  <si>
    <t>Receitas de Valores Mobiliários</t>
  </si>
  <si>
    <t>Outras Receitas Patrimoniais</t>
  </si>
  <si>
    <t>RECEITA DE SERVICOS</t>
  </si>
  <si>
    <t>Receita de Serviços</t>
  </si>
  <si>
    <t>TRANSFERENCIAS CORRENTES</t>
  </si>
  <si>
    <t>OUTRAS RECEITAS CORRENTES</t>
  </si>
  <si>
    <t>RECEITAS DE CAPITAL</t>
  </si>
  <si>
    <t xml:space="preserve">OPERACOES DE CREDITO  </t>
  </si>
  <si>
    <t>ALIENACAO DE BENS</t>
  </si>
  <si>
    <t>Alienação de Bens Móveis</t>
  </si>
  <si>
    <t>Alienação de Bens Imóveis</t>
  </si>
  <si>
    <t>TRANSFERENCIAS DE CAPITAL</t>
  </si>
  <si>
    <t>OUTRAS RECEITAS DE CAPITAL</t>
  </si>
  <si>
    <t>Receitas de Capital Diversas</t>
  </si>
  <si>
    <t>RECEITAS INTRA-ORÇAMENTÁRIAS (II)</t>
  </si>
  <si>
    <t xml:space="preserve"> Mobiliária</t>
  </si>
  <si>
    <t>Contratual</t>
  </si>
  <si>
    <t>DÉFICIT (VI)</t>
  </si>
  <si>
    <t xml:space="preserve"> DOTAÇÃO </t>
  </si>
  <si>
    <t>DESPESAS</t>
  </si>
  <si>
    <t xml:space="preserve">  INICIAL         </t>
  </si>
  <si>
    <t xml:space="preserve"> ATUALIZADA   </t>
  </si>
  <si>
    <t xml:space="preserve"> (d) </t>
  </si>
  <si>
    <t xml:space="preserve"> (e) </t>
  </si>
  <si>
    <t xml:space="preserve"> (h) </t>
  </si>
  <si>
    <t>DESPESAS (EXCETO INTRA-ORÇ.) (VIII)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</si>
  <si>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</si>
  <si>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</si>
  <si>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</si>
  <si>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</si>
  <si>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</si>
  <si>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</si>
  <si>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</si>
  <si>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</si>
  <si>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</si>
  <si>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</si>
  <si>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>DESPESAS INTRA-ORÇAMENTÁRIAS (IX)</t>
  </si>
  <si>
    <t>Amortização da Dívida Interna</t>
  </si>
  <si>
    <t>Dívida Mobiliária</t>
  </si>
  <si>
    <t>Outras Dívidas</t>
  </si>
  <si>
    <t>Amortização da Dívida Externa</t>
  </si>
  <si>
    <t>SUPERÁVIT (XIII)</t>
  </si>
  <si>
    <t>TOTAL (XIV) = (XII + XIII)</t>
  </si>
  <si>
    <t>FONTE: SECRETARIA MUNICIPAL DA FAZENDA</t>
  </si>
  <si>
    <t>Nota: 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</si>
  <si>
    <t>a) Despesas liquidadas, consideradas aquelas em que houve a entrega do material ou serviço, nos termos do art. 63 da Lei 4.320/64;</t>
  </si>
  <si>
    <t>b) Despesas empenhadas mas não liquidadas, inscritas em Restos a Pagar não-processados, consideradas liquidadas no encerramento do exercício, por força do art.35, inciso II da Lei 4.320/64.</t>
  </si>
  <si>
    <t>Função Sub-Função</t>
  </si>
  <si>
    <t>%</t>
  </si>
  <si>
    <t>No Bimestre</t>
  </si>
  <si>
    <t>Até o Bimestre</t>
  </si>
  <si>
    <t>(a)</t>
  </si>
  <si>
    <t>(b)</t>
  </si>
  <si>
    <t>(b/a)</t>
  </si>
  <si>
    <t>DESPESA (EXCETO INTRA) - I</t>
  </si>
  <si>
    <t xml:space="preserve"> LEGISLATIVA</t>
  </si>
  <si>
    <t xml:space="preserve">    Ação Legislativa</t>
  </si>
  <si>
    <t xml:space="preserve">   Administração Geral</t>
  </si>
  <si>
    <t xml:space="preserve"> ESSENCIAL À JUSTIÇA</t>
  </si>
  <si>
    <t xml:space="preserve">    Rep. Judicial e Extrajudicial</t>
  </si>
  <si>
    <t xml:space="preserve">    Administração Geral</t>
  </si>
  <si>
    <t xml:space="preserve"> ADMINISTRAÇÃO</t>
  </si>
  <si>
    <t xml:space="preserve">   Planejamento e Orçamento</t>
  </si>
  <si>
    <t xml:space="preserve">   Administração Financeira</t>
  </si>
  <si>
    <t xml:space="preserve">   Controle Interno</t>
  </si>
  <si>
    <t xml:space="preserve">   Tecnologia da Informação</t>
  </si>
  <si>
    <t xml:space="preserve">   Formação de Recursos Humanos</t>
  </si>
  <si>
    <t xml:space="preserve"> SEGURANÇA PÚBLICA</t>
  </si>
  <si>
    <t xml:space="preserve">   Policiamento </t>
  </si>
  <si>
    <t xml:space="preserve">   Defesa Civil </t>
  </si>
  <si>
    <t xml:space="preserve"> ASSISTÊNCIA SOCIAL</t>
  </si>
  <si>
    <t xml:space="preserve">   Assistência ao Idoso</t>
  </si>
  <si>
    <t xml:space="preserve">   Assistência ao Portador Deficiência</t>
  </si>
  <si>
    <t xml:space="preserve">   Assistência Comunitária</t>
  </si>
  <si>
    <t xml:space="preserve"> PREVIDÊNCIA SOCIAL</t>
  </si>
  <si>
    <t xml:space="preserve">   Previdência Básica</t>
  </si>
  <si>
    <t xml:space="preserve">   Previdência do Regime Estatutário</t>
  </si>
  <si>
    <t xml:space="preserve"> SAÚDE</t>
  </si>
  <si>
    <t xml:space="preserve">   Vigilância Sanitária </t>
  </si>
  <si>
    <t xml:space="preserve">   Vigilância Epidemiológica</t>
  </si>
  <si>
    <t xml:space="preserve"> TRABALHO</t>
  </si>
  <si>
    <t xml:space="preserve">   Empregabilidade</t>
  </si>
  <si>
    <t xml:space="preserve">   Fomento ao Trabalho</t>
  </si>
  <si>
    <t xml:space="preserve">   Ensino Profissional</t>
  </si>
  <si>
    <t xml:space="preserve"> EDUCAÇÃO</t>
  </si>
  <si>
    <t xml:space="preserve">   Ensino Fundamental</t>
  </si>
  <si>
    <t xml:space="preserve">   Educação Infantil </t>
  </si>
  <si>
    <t xml:space="preserve">   Educação de Jovens e Adultos</t>
  </si>
  <si>
    <t xml:space="preserve">   Educação Especial</t>
  </si>
  <si>
    <t xml:space="preserve"> CULTURA</t>
  </si>
  <si>
    <t xml:space="preserve">   Pat. Hist. Art. e Arqueológico</t>
  </si>
  <si>
    <t xml:space="preserve">   Difusão Cultural</t>
  </si>
  <si>
    <t xml:space="preserve"> DIREITOS DA CIDADANIA</t>
  </si>
  <si>
    <t xml:space="preserve">   Alimentação e Nutrição</t>
  </si>
  <si>
    <t xml:space="preserve"> URBANISMO</t>
  </si>
  <si>
    <t xml:space="preserve">   Normatização e Fiscalização</t>
  </si>
  <si>
    <t xml:space="preserve">   Infra-estrutura urbana</t>
  </si>
  <si>
    <t xml:space="preserve">   Serviços Urbanos</t>
  </si>
  <si>
    <t xml:space="preserve"> HABITAÇÃO</t>
  </si>
  <si>
    <t xml:space="preserve">   Habitação Urbana</t>
  </si>
  <si>
    <t xml:space="preserve"> SANEAMENTO</t>
  </si>
  <si>
    <t xml:space="preserve">   Saneamento Básico Urbano</t>
  </si>
  <si>
    <t xml:space="preserve"> GESTÃO AMBIENTAL</t>
  </si>
  <si>
    <t xml:space="preserve">   Controle Ambiental</t>
  </si>
  <si>
    <t xml:space="preserve">   Preservação e Conserv. Ambiental</t>
  </si>
  <si>
    <t xml:space="preserve"> AGRICULTURA</t>
  </si>
  <si>
    <t xml:space="preserve">   Promoção da Produção Vegetal</t>
  </si>
  <si>
    <t xml:space="preserve">   Abastecimento</t>
  </si>
  <si>
    <t xml:space="preserve"> COMÉRCIO E SERVIÇOS</t>
  </si>
  <si>
    <t xml:space="preserve">   Turismo</t>
  </si>
  <si>
    <t xml:space="preserve"> TRANSPORTE</t>
  </si>
  <si>
    <t xml:space="preserve">   Transporte Rodoviário</t>
  </si>
  <si>
    <t xml:space="preserve"> DESPORTOS E LAZER</t>
  </si>
  <si>
    <t xml:space="preserve">   Lazer</t>
  </si>
  <si>
    <t xml:space="preserve"> ENCARGOS ESPECIAIS</t>
  </si>
  <si>
    <t xml:space="preserve">   Serviço da Dívida Interna</t>
  </si>
  <si>
    <t xml:space="preserve">   Outros Encargos Especiais</t>
  </si>
  <si>
    <t xml:space="preserve"> RESERVA DE CONTINGÊNCIA</t>
  </si>
  <si>
    <t xml:space="preserve">   Reserva de Contingência</t>
  </si>
  <si>
    <t xml:space="preserve">  TOTAL III = (I + II)</t>
  </si>
  <si>
    <t>PREFEITURA MUNICIPAL DE SÃO LUÍS (MA)</t>
  </si>
  <si>
    <t>DEMONSTRATIVO DA RECEITA CORRENTE LÍQUIDA</t>
  </si>
  <si>
    <t>ESPECIFICAÇÃO</t>
  </si>
  <si>
    <t>mai-09</t>
  </si>
  <si>
    <t>jun-09</t>
  </si>
  <si>
    <t>RECEITAS CORRENTES (I)</t>
  </si>
  <si>
    <t>Receita Patrimonial</t>
  </si>
  <si>
    <t>Transferências Correntes</t>
  </si>
  <si>
    <t>Outras Receitas Correntes</t>
  </si>
  <si>
    <t>DEDUÇÕES (II)</t>
  </si>
  <si>
    <t>RECEITA CORRENTE LÍQUIDA (I - II)</t>
  </si>
  <si>
    <t>ORÇAMENTO DA SEGURIDADE SOCIAL</t>
  </si>
  <si>
    <t>RECEITAS REALIZADAS</t>
  </si>
  <si>
    <t>Alienação de Bens, Direitos e Ativos</t>
  </si>
  <si>
    <t>Amortização de Empréstimos</t>
  </si>
  <si>
    <t>Outras Receitas de Capital</t>
  </si>
  <si>
    <t>INSCRITAS EM RPNP</t>
  </si>
  <si>
    <t>Despesas Correntes</t>
  </si>
  <si>
    <t>Despesas de Capital</t>
  </si>
  <si>
    <t>Aposentadorias</t>
  </si>
  <si>
    <t>Pensões</t>
  </si>
  <si>
    <t>Outras Despesas Correntes</t>
  </si>
  <si>
    <t>DOTAÇÃO</t>
  </si>
  <si>
    <t>DESPESAS LIQUIDADAS</t>
  </si>
  <si>
    <t>INICIAL</t>
  </si>
  <si>
    <t>ATUALIZADA</t>
  </si>
  <si>
    <t>RESERVA ORÇAMENTÁRIA DO RPPS</t>
  </si>
  <si>
    <t>VALOR</t>
  </si>
  <si>
    <t>SALDO</t>
  </si>
  <si>
    <t>PREFEITURA MUNICIPAL DE SÃO LUÍS</t>
  </si>
  <si>
    <t>PREVISÃO ATUALIZADA</t>
  </si>
  <si>
    <t>Demais Receitas Correntes</t>
  </si>
  <si>
    <t>Transferências de Capital</t>
  </si>
  <si>
    <t xml:space="preserve"> Convênios</t>
  </si>
  <si>
    <t xml:space="preserve"> Outras Transferências de Capital</t>
  </si>
  <si>
    <t>Pessoal e Encargos Sociais</t>
  </si>
  <si>
    <t>Investimentos</t>
  </si>
  <si>
    <t>Inversões Financeiras</t>
  </si>
  <si>
    <t>Demais Inversões Financeiras</t>
  </si>
  <si>
    <t xml:space="preserve">                                   &lt;ESFERA DE GOVERNO&gt;</t>
  </si>
  <si>
    <t>Continuação (2/2)</t>
  </si>
  <si>
    <t>DEMONSTRATIVO DA PROJEÇÃO ATUARIAL DO REGIME GERAL DE PREVIDÊNCIA SOCIAL</t>
  </si>
  <si>
    <t>&lt;PERÍODO DE REFERÊNCIA&gt;</t>
  </si>
  <si>
    <t>TABELA DE HIPÓTESES</t>
  </si>
  <si>
    <t>EXERCÍCIO</t>
  </si>
  <si>
    <t>MASSA SALARIAL</t>
  </si>
  <si>
    <t>CRESCIMENTO VEGETATIVO</t>
  </si>
  <si>
    <t>TAXA DE INFLAÇÃO ANUAL (IGP-DI Média)</t>
  </si>
  <si>
    <t>VARIAÇÃO REAL DO PIB</t>
  </si>
  <si>
    <t>REAJUSTE DO SALÁRIO MÍNIMO</t>
  </si>
  <si>
    <t>REAJUSTE DOS DEMAIS BENEFÍCIOS</t>
  </si>
  <si>
    <t>FONTES:</t>
  </si>
  <si>
    <t>DEMONSTRATIVO DOS RESTOS A PAGAR POR PODER E ÓRGÃO</t>
  </si>
  <si>
    <t>PODER / ÓRGÃO</t>
  </si>
  <si>
    <t>Inscritos</t>
  </si>
  <si>
    <t>TOTAL</t>
  </si>
  <si>
    <t>DEMONSTRATIVO DAS RECEITAS E DESPESAS COM MANUTENÇÃO E DESENVOLVIMENTO DO ENSINO - MDE</t>
  </si>
  <si>
    <t>PREVISÃO INICIAL</t>
  </si>
  <si>
    <t xml:space="preserve">2.1 Cota-Parte FPM </t>
  </si>
  <si>
    <t xml:space="preserve">2.2 Cota-Parte ICMS </t>
  </si>
  <si>
    <t>RECEITAS ADICIONAIS PARA FINANCIAMENTO DO ENSINO</t>
  </si>
  <si>
    <t>DOTAÇÃO INICIAL</t>
  </si>
  <si>
    <t>DOTAÇÃO ATUALIZADA</t>
  </si>
  <si>
    <t>(d)</t>
  </si>
  <si>
    <t>OUTRAS INFORMAÇÕES PARA CONTROLE</t>
  </si>
  <si>
    <t>PREFEITURA DE SÃO LUÍS (MA)</t>
  </si>
  <si>
    <t>DEMONSTRATIVO SIMPLIFICADO DO RELATÓRIO RESUMIDO DA EXECUÇÃO ORÇAMENTÁRIA</t>
  </si>
  <si>
    <t xml:space="preserve">BALANÇO ORÇAMENTÁRIO </t>
  </si>
  <si>
    <t>Despesas Empenhadas</t>
  </si>
  <si>
    <t>Despesas Liquidadas</t>
  </si>
  <si>
    <t>DESPESAS POR FUNÇÃO / SUBFUNÇÃO</t>
  </si>
  <si>
    <t>RECEITA CORRENTE LÍQUIDA - RCL</t>
  </si>
  <si>
    <t>Receita Corrente Líquida</t>
  </si>
  <si>
    <t xml:space="preserve"> % em Relação à Meta</t>
  </si>
  <si>
    <t>Inscrição</t>
  </si>
  <si>
    <t>RESTOS A PAGAR PROCESSADOS</t>
  </si>
  <si>
    <t>RESTOS A PAGAR NÃO-PROCESSADOS</t>
  </si>
  <si>
    <t>Valor apurado</t>
  </si>
  <si>
    <t>Limites Constitucionais Anuais</t>
  </si>
  <si>
    <t>até  o bimestre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</si>
  <si>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</si>
  <si>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</si>
  <si>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</si>
  <si>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</si>
  <si>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</si>
  <si>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</si>
  <si>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10º Exercício</t>
  </si>
  <si>
    <t>20º Exercício</t>
  </si>
  <si>
    <t>35º Exercício</t>
  </si>
  <si>
    <t>RECEITA DA ALIENAÇÃO DE ATIVOS E APLICAÇÃO DOS RECURSOS</t>
  </si>
  <si>
    <t>Aplicação dos Recursos da Alienação de Ativos</t>
  </si>
  <si>
    <t>VALOR APURADO NO EXERCÍCIO CORRENTE</t>
  </si>
  <si>
    <t xml:space="preserve">   Suporte Profilático e Terapêutico</t>
  </si>
  <si>
    <t>AMORTIZAÇÃO DA DÍV.-REFINANCIAMENTO (XI)</t>
  </si>
  <si>
    <t>EXERCÍCIO ANTERIOR</t>
  </si>
  <si>
    <t>RESTOS A PAGAR NÃO PROCESSADOS</t>
  </si>
  <si>
    <t>DEMONSTRATIVO DAS PARCERIAS PÚBLICO-PRIVADAS</t>
  </si>
  <si>
    <t>TOTAL DE ATIVOS</t>
  </si>
  <si>
    <t xml:space="preserve">    Provisões de PPP</t>
  </si>
  <si>
    <t>DESPESAS DE PPP</t>
  </si>
  <si>
    <t>&lt;EC+1&gt;</t>
  </si>
  <si>
    <t>&lt;EC+2&gt;</t>
  </si>
  <si>
    <t>&lt;EC+3&gt;</t>
  </si>
  <si>
    <t>&lt;EC+4&gt;</t>
  </si>
  <si>
    <t>&lt;EC+5&gt;</t>
  </si>
  <si>
    <t>&lt;EC+6&gt;</t>
  </si>
  <si>
    <t>&lt;EC+7&gt;</t>
  </si>
  <si>
    <t>&lt;EC+8&gt;</t>
  </si>
  <si>
    <t>&lt;EC+9&gt;</t>
  </si>
  <si>
    <t>DESPESAS EMPENHADAS</t>
  </si>
  <si>
    <t xml:space="preserve">RREO - ANEXO 2 (LRF - Art.52, inciso II, alínea "c") </t>
  </si>
  <si>
    <t xml:space="preserve"> RREO - ANEXO 6 (LRF - art 53, inciso III)</t>
  </si>
  <si>
    <t xml:space="preserve"> RREO - ANEXO 7 (LRF - art. 53, inciso V) </t>
  </si>
  <si>
    <t xml:space="preserve">RREO - ANEXO 8 (LDB, art. 72) </t>
  </si>
  <si>
    <t xml:space="preserve">    2.1.1 - Parcela referente à CF - art. 159, I, alínea b</t>
  </si>
  <si>
    <t>RREO - ANEXO 14 (LRF, art. 48)</t>
  </si>
  <si>
    <t>RREO - ANEXO 13 (Lei nº 11.079, de 30.12.2004, arts. 22, 25 e 28)</t>
  </si>
  <si>
    <t xml:space="preserve"> RREO - ANEXO 12 (LC 141/2012, art. 35)</t>
  </si>
  <si>
    <t>RECEITA DE TRANSFERÊNCIAS CONSTITUCIONAIS E LEGAIS (II)</t>
  </si>
  <si>
    <t xml:space="preserve">    Cota-Parte do FPM</t>
  </si>
  <si>
    <t xml:space="preserve">    Cota-Parte do ITR</t>
  </si>
  <si>
    <t xml:space="preserve">    Cota-Parte do IPVA</t>
  </si>
  <si>
    <t xml:space="preserve">    Cota-Parte do ICMS</t>
  </si>
  <si>
    <t xml:space="preserve"> Até o Bimestre</t>
  </si>
  <si>
    <t>(g)</t>
  </si>
  <si>
    <t xml:space="preserve">   Receitas Realizadas </t>
  </si>
  <si>
    <t xml:space="preserve">   Deficit Orçamentário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</si>
  <si>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</si>
  <si>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</si>
  <si>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</si>
  <si>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</si>
  <si>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Superavit Orçamentário</t>
  </si>
  <si>
    <t xml:space="preserve">   Previsão Inicial </t>
  </si>
  <si>
    <t xml:space="preserve">   Previsão Atualizada</t>
  </si>
  <si>
    <t xml:space="preserve">   Saldos de Exercícios Anteriores - (Utilizados para Créditos Adicionais)</t>
  </si>
  <si>
    <t>Meta Fixada no AMF da LDO</t>
  </si>
  <si>
    <t xml:space="preserve">   Poder Executivo</t>
  </si>
  <si>
    <t xml:space="preserve">   Poder Legislativo</t>
  </si>
  <si>
    <t>% Aplicado até o Bimestre</t>
  </si>
  <si>
    <t>Mínimo Anual de &lt;18% / 25%&gt; das Receitas de Impostos em MDE</t>
  </si>
  <si>
    <t>Limite Constitucional Anual</t>
  </si>
  <si>
    <t>% Mínimo a Aplicar no Exercício</t>
  </si>
  <si>
    <t>DESPESAS COM AÇÕES E SERVIÇOS PÚBLICOS DE SAÚDE</t>
  </si>
  <si>
    <t>Resultado Apurado até o Bimestre</t>
  </si>
  <si>
    <t>Pagamento Até o Bimestre</t>
  </si>
  <si>
    <t>Cancelamento Até o Bimestre</t>
  </si>
  <si>
    <t>Saldo a Pagar</t>
  </si>
  <si>
    <t>Exercício 1</t>
  </si>
  <si>
    <t xml:space="preserve">PREFEITURA MUNICIPAL DE SÃO LUÍS </t>
  </si>
  <si>
    <t xml:space="preserve">   Transporte Hidroviário</t>
  </si>
  <si>
    <t xml:space="preserve">   Assistência criança e ao adolescente</t>
  </si>
  <si>
    <t xml:space="preserve">   Proteção e Benefício ao Trabalhador</t>
  </si>
  <si>
    <t xml:space="preserve">   Promoção da Produção Animal</t>
  </si>
  <si>
    <t xml:space="preserve"> COMUNICAÇÕES</t>
  </si>
  <si>
    <t xml:space="preserve">    Comunicação Social</t>
  </si>
  <si>
    <t xml:space="preserve">   Reserva de Contingência RPPS</t>
  </si>
  <si>
    <t>RREO - ANEXO 3 (LRF - Art. 53, Inciso I)</t>
  </si>
  <si>
    <t xml:space="preserve">Até o Bimestre </t>
  </si>
  <si>
    <t>APORTES REALIZADOS</t>
  </si>
  <si>
    <t>VALOR CORRENTE</t>
  </si>
  <si>
    <t>INDICADORES DO FUNDEB</t>
  </si>
  <si>
    <t>RESTOS A PAGAR CANCELADOS OU PRESCRITOS</t>
  </si>
  <si>
    <t>DESPESAS COM MANUTENÇÃO E DESENVOLVIMENTO DO ENSINO</t>
  </si>
  <si>
    <t xml:space="preserve"> (f) </t>
  </si>
  <si>
    <t xml:space="preserve"> (g)=(e-f) </t>
  </si>
  <si>
    <t xml:space="preserve"> DESPESAS LIQUIDADAS</t>
  </si>
  <si>
    <t>(i)=(e-h)</t>
  </si>
  <si>
    <t>DESPESAS PAGAS ATÉ O BIMESTRE</t>
  </si>
  <si>
    <t>(j)</t>
  </si>
  <si>
    <t xml:space="preserve"> (k) </t>
  </si>
  <si>
    <t xml:space="preserve"> Até o Bimestre </t>
  </si>
  <si>
    <t>SALDO                       (c) = (a-b)</t>
  </si>
  <si>
    <t>(d/total d)</t>
  </si>
  <si>
    <t>(e) = (a-d)</t>
  </si>
  <si>
    <t>(f)</t>
  </si>
  <si>
    <t>DESPESA INTRA-ORÇAM. (II)</t>
  </si>
  <si>
    <t xml:space="preserve">   Despesas Pagas</t>
  </si>
  <si>
    <t xml:space="preserve"> PREVISÃO ATUALIZADA  
(a)</t>
  </si>
  <si>
    <t xml:space="preserve"> SALDO A 
REALIZAR 
(a - c) </t>
  </si>
  <si>
    <t xml:space="preserve"> No Bimestre 
(b)</t>
  </si>
  <si>
    <t xml:space="preserve"> % 
(b / a)</t>
  </si>
  <si>
    <t xml:space="preserve"> Até o Bimestre 
( c )</t>
  </si>
  <si>
    <t xml:space="preserve"> % 
(c / a )</t>
  </si>
  <si>
    <t xml:space="preserve">RREO - ANEXO 1  (LRF - Art. 52, inciso I, alíneas "a" e "b" do inciso II e §1º)  </t>
  </si>
  <si>
    <t xml:space="preserve">DEMONSTRATIVO DA EXECUÇÃO DAS DESPESAS POR FUNÇÃO E SUBFUNÇÃO </t>
  </si>
  <si>
    <t>TOTAL  (ÚLTIMOS 12 MESES)</t>
  </si>
  <si>
    <t xml:space="preserve">            PREFEITURA MUNICIPAL DE SÃO LUÍS </t>
  </si>
  <si>
    <t xml:space="preserve">            RELATÓRIO RESUMIDO DA EXECUÇÃO ORÇAMENTÁRIA</t>
  </si>
  <si>
    <t xml:space="preserve">            ORÇAMENTOS FISCAL E DA SEGURIDADE SOCIAL</t>
  </si>
  <si>
    <t xml:space="preserve">       PREFEITURA MUNICIPAL DE SÃO LUÍS (MA)</t>
  </si>
  <si>
    <t xml:space="preserve">       RELATÓRIO RESUMIDO DA EXECUÇÃO ORÇAMENTÁRIA</t>
  </si>
  <si>
    <t xml:space="preserve">       ORÇAMENTO DA SEGURIDADE SOCIAL</t>
  </si>
  <si>
    <t xml:space="preserve">              PREFEITURA MUNICIPAL DE SÃO LUÍS</t>
  </si>
  <si>
    <t xml:space="preserve">              RELATÓRIO RESUMIDO DA EXECUÇÃO ORÇAMENTÁRIA</t>
  </si>
  <si>
    <t xml:space="preserve">       DEMONSTRATIVO DAS RECEITAS E DESPESAS PREVIDENCIÁRIAS DO RPPS - PLANO PREVIDENCIÁRIO</t>
  </si>
  <si>
    <t xml:space="preserve"> </t>
  </si>
  <si>
    <t>(b/tot.b)</t>
  </si>
  <si>
    <t xml:space="preserve"> RREO - ANEXO 4 (LRF - Art. 53, inciso II)</t>
  </si>
  <si>
    <t xml:space="preserve">  Demais Haveres Financeiros</t>
  </si>
  <si>
    <t>RECEITAS PRIMÁRIAS</t>
  </si>
  <si>
    <t>Em Exercícios Anteriores           (a)</t>
  </si>
  <si>
    <t>Pagos                         (c)</t>
  </si>
  <si>
    <t>Cancelados                (d)</t>
  </si>
  <si>
    <t>Saldo                        (e)=(a+b)-(c+d)</t>
  </si>
  <si>
    <t>Em Exercícios Anteriores         (f)</t>
  </si>
  <si>
    <t>Liquidados        (h)</t>
  </si>
  <si>
    <t>Pagos                  (i)</t>
  </si>
  <si>
    <t>Cancelados        (j)</t>
  </si>
  <si>
    <t>Saldo                        (k)=(f+g)-(i+j)</t>
  </si>
  <si>
    <t>1.RECEITA DE IMPOSTOS</t>
  </si>
  <si>
    <t>FUNDEB</t>
  </si>
  <si>
    <t>SALÁRIO EDUCAÇÃO</t>
  </si>
  <si>
    <t>IMPACTOS DAS CONTRATAÇÕES DE PPP</t>
  </si>
  <si>
    <t>REGISTROS EFETUADOS EM 2017</t>
  </si>
  <si>
    <t>SALDO TOTAL EM 31 DE DEZEMBRO DO EXERCÍCIO ANTERIOR</t>
  </si>
  <si>
    <t xml:space="preserve">TOTAL DE PASSIVOS </t>
  </si>
  <si>
    <t xml:space="preserve">    Obrigações  decorrentes de Ativos Constituídos pela SPE</t>
  </si>
  <si>
    <t xml:space="preserve">    Outros Passivos</t>
  </si>
  <si>
    <t xml:space="preserve">ATOS POTENCIAIS PASSIVOS </t>
  </si>
  <si>
    <t xml:space="preserve">ERXERCÍCIO CORRENTE </t>
  </si>
  <si>
    <t>RESTOS A PAGAR POR PODER E MINISTÉRIO PÚBLICO</t>
  </si>
  <si>
    <t>Receita de Contribuições dos Segurados</t>
  </si>
  <si>
    <t xml:space="preserve">Ativo </t>
  </si>
  <si>
    <t xml:space="preserve">Inativo </t>
  </si>
  <si>
    <t xml:space="preserve">Pensionista </t>
  </si>
  <si>
    <t>Receita de Contribuições Patronais</t>
  </si>
  <si>
    <t>Plano de Amortização - Contrib. Patronal Suplementar</t>
  </si>
  <si>
    <t>Plano de Amortização - Aporte Period. Val. Predefinidos</t>
  </si>
  <si>
    <t>Outros Aportes para o RPPS</t>
  </si>
  <si>
    <t>Recursos para Cobertura de Déficit Financeiro</t>
  </si>
  <si>
    <t>Investimentos e Aplicações</t>
  </si>
  <si>
    <t>Outros Bens e Direitos</t>
  </si>
  <si>
    <t xml:space="preserve"> SALDO  
(a - c) </t>
  </si>
  <si>
    <t>CONTRIBUICOES</t>
  </si>
  <si>
    <t>Demais Receitas Patrimoniais</t>
  </si>
  <si>
    <t>SUBTOTAL COM REFINANC. (V) = (III+IV)</t>
  </si>
  <si>
    <t>SUBTOTAL C/ REFINANC. (XII) = (X + XI)</t>
  </si>
  <si>
    <t xml:space="preserve">   Demais Receitas Correntes   </t>
  </si>
  <si>
    <t>RECEITAS DE CAPITAL (III)</t>
  </si>
  <si>
    <t>Recursos para Formação de Reserva</t>
  </si>
  <si>
    <t xml:space="preserve">   IPTU</t>
  </si>
  <si>
    <t xml:space="preserve">   ISS</t>
  </si>
  <si>
    <t xml:space="preserve">   ITBI</t>
  </si>
  <si>
    <t xml:space="preserve">   IRRF</t>
  </si>
  <si>
    <t xml:space="preserve">   Outros Impostos, Taxas e Cont. de Melhorias</t>
  </si>
  <si>
    <t>RECEITAS REALIZADAS  (a)</t>
  </si>
  <si>
    <t>ACIMA DA LINHA</t>
  </si>
  <si>
    <t xml:space="preserve">Receita Patrimonial </t>
  </si>
  <si>
    <t>Aplicações Financeiras (II)</t>
  </si>
  <si>
    <t xml:space="preserve">    Outras Receitas Patrimoniais</t>
  </si>
  <si>
    <t xml:space="preserve">    Cota-Parte do ICMS </t>
  </si>
  <si>
    <t xml:space="preserve">   Transferências da LC 87/1996</t>
  </si>
  <si>
    <t xml:space="preserve">   Transferências da LC 61/1989</t>
  </si>
  <si>
    <t xml:space="preserve">   Transferências do FUNDEB</t>
  </si>
  <si>
    <t xml:space="preserve">    Outras Transferências Correntes</t>
  </si>
  <si>
    <t>Outras Receitas Financeiras (III)</t>
  </si>
  <si>
    <t>Receitas Correntes Restantes</t>
  </si>
  <si>
    <t>RECEITAS PRIMÁRIAS CORRENTES (IV)=(I-II-III)</t>
  </si>
  <si>
    <t>RECEITAS DE CAPITAL (V)</t>
  </si>
  <si>
    <t>Operações de Crédito (VI)</t>
  </si>
  <si>
    <t>Amortização de Empréstimos (VII)</t>
  </si>
  <si>
    <t xml:space="preserve">Alienação de Bens </t>
  </si>
  <si>
    <t xml:space="preserve">    Receitas de Alienação Investimentos Temporários (VIII) </t>
  </si>
  <si>
    <t xml:space="preserve">    Receitas de Alienação Investim. Permanentess (IX) </t>
  </si>
  <si>
    <t xml:space="preserve">    Outras Alienações de Bens</t>
  </si>
  <si>
    <t xml:space="preserve">    Outras Receitas de Capital Primárias </t>
  </si>
  <si>
    <t xml:space="preserve">    Outras Receitas de Capital não Primárias (X)</t>
  </si>
  <si>
    <t>REC. PRIM. DE CAPITAL (XI) = (V-VI-VII-VIII-IX-X)</t>
  </si>
  <si>
    <t>Juros e Encargos da Dívida (XIV)</t>
  </si>
  <si>
    <t>DESPESAS PRIM. CORRENTES (XV) = (XIII - XIV)</t>
  </si>
  <si>
    <t>DESPESAS DE CAPITAL (XVI)</t>
  </si>
  <si>
    <t>Concessão de Empréstimos e Financiamentos (XVII)</t>
  </si>
  <si>
    <t>Aquisição de Título de Capital já Integralizado (XVIII)</t>
  </si>
  <si>
    <t>Aquisição de Título de Crédito (XIX)</t>
  </si>
  <si>
    <t>Amortização da Dívida (XX)</t>
  </si>
  <si>
    <t>DESP. PRIM. TOTAL (XXIII)=(XV + XXI + XXII)</t>
  </si>
  <si>
    <t xml:space="preserve">RESULTADO PRIMÁRIO - Acima da linha (XXIV)=(XIIa-(XXIIIa+XXIIIb+XXIIIc)) </t>
  </si>
  <si>
    <t>META FISCAL PARA O RESULTADO PRIMÁRIO</t>
  </si>
  <si>
    <t>Meta fixada no Anexo de Metas Fiscais da LDO para o exercício de referência</t>
  </si>
  <si>
    <t>JUROS NOMINAIS</t>
  </si>
  <si>
    <t xml:space="preserve">VALOR INCORRIDO </t>
  </si>
  <si>
    <t>META FISCAL PARA O RESULTADO NOMINAL</t>
  </si>
  <si>
    <t>ABAIXO DA LINHA</t>
  </si>
  <si>
    <t>CÁLCULO DO RESULTADO NOMINAL</t>
  </si>
  <si>
    <t>Até o Bimestre  (b)</t>
  </si>
  <si>
    <t>DÍVIDA CONSOLIDADA  (XXVIII)</t>
  </si>
  <si>
    <t>DEDUÇÕES  (XXIX)</t>
  </si>
  <si>
    <t xml:space="preserve">           Disponibilidade de Caixa Bruta</t>
  </si>
  <si>
    <t>INFORMAÇÕES ADICIONAIS</t>
  </si>
  <si>
    <t>PREVISÃO ORÇAMENTÁRIA</t>
  </si>
  <si>
    <t>SALDO DE EXERCÍCIOS ANTERIORES</t>
  </si>
  <si>
    <t>Contribuições</t>
  </si>
  <si>
    <t>SALDO TOTAL                             (l)=(e+k)</t>
  </si>
  <si>
    <t xml:space="preserve">             DEMONSTRATIVO DOS RESULTADOS PRIMÁRIO E NOMINAL</t>
  </si>
  <si>
    <t>RECEITAS E DESP. REGIME PRÓPRIO DE PREVID. DOS SERVIDORES</t>
  </si>
  <si>
    <t xml:space="preserve">   Receitas Previdenciárias Realizadas </t>
  </si>
  <si>
    <t xml:space="preserve">   Despesas Previdenciárias Liquidadas </t>
  </si>
  <si>
    <t xml:space="preserve">   Resultado Previdenciário </t>
  </si>
  <si>
    <t xml:space="preserve">   Poder Judiciário</t>
  </si>
  <si>
    <t xml:space="preserve">   Ministério Público</t>
  </si>
  <si>
    <t xml:space="preserve">   Defensoria Pública</t>
  </si>
  <si>
    <t>Plano Previdenciário</t>
  </si>
  <si>
    <t xml:space="preserve">    Receitas Previdenciárias </t>
  </si>
  <si>
    <t xml:space="preserve">    Despesas Previdenciárias </t>
  </si>
  <si>
    <t xml:space="preserve">    Resultado Previdenciário </t>
  </si>
  <si>
    <t xml:space="preserve">            BALANÇO ORÇAMENTÁRIO</t>
  </si>
  <si>
    <t>AJUSTE METODOLÓGICO</t>
  </si>
  <si>
    <t>Plano Financeiro</t>
  </si>
  <si>
    <t>IMPOSTOS TAXAS E CONT. MELHORIAS</t>
  </si>
  <si>
    <t>Impostos Taxas e Contrib. Melhoria</t>
  </si>
  <si>
    <t xml:space="preserve">    Rendimentos de Aplic. Financeira</t>
  </si>
  <si>
    <t xml:space="preserve">    Outras Receitas Patrimoniais </t>
  </si>
  <si>
    <t xml:space="preserve">   Cota-Parte do FPM</t>
  </si>
  <si>
    <t xml:space="preserve">   Cota-Parte do ICMS</t>
  </si>
  <si>
    <t xml:space="preserve">   Cota-Parte do IPVA</t>
  </si>
  <si>
    <t xml:space="preserve">   Cota-Parte do ITR</t>
  </si>
  <si>
    <t xml:space="preserve">   Transferências LC 87/1996</t>
  </si>
  <si>
    <t xml:space="preserve">   Transferências LC 61/1989</t>
  </si>
  <si>
    <t xml:space="preserve">   Tranferências do FUNDEB</t>
  </si>
  <si>
    <t xml:space="preserve">   Outras Transferências Correntes</t>
  </si>
  <si>
    <t xml:space="preserve">    IPTU</t>
  </si>
  <si>
    <t xml:space="preserve">    ISS</t>
  </si>
  <si>
    <t xml:space="preserve">    ITBI</t>
  </si>
  <si>
    <t xml:space="preserve">    IRPF</t>
  </si>
  <si>
    <t xml:space="preserve">    Outros Imp. Taxas e Cont.Melhoria</t>
  </si>
  <si>
    <t xml:space="preserve">   Contrib. Servidor Plano Previdência</t>
  </si>
  <si>
    <t xml:space="preserve">   Ded. Receita Formação do FUNDEB</t>
  </si>
  <si>
    <t>Impostos, Taxas e Contribuições de Melhoria</t>
  </si>
  <si>
    <t>RECEITA PRIMÁRIA TOTAL (XII) = (IV+XI)</t>
  </si>
  <si>
    <t>DESPESAS CORRENTES (XIII)</t>
  </si>
  <si>
    <t>DESP.PRIM.CAPITAL (XXI)=(XVI-XVII-XVIII-XIX-XX)</t>
  </si>
  <si>
    <t>RESERVA DE CONTINGÊNCIA (XXII)</t>
  </si>
  <si>
    <t>DESPESAS PAGAS            (a)</t>
  </si>
  <si>
    <t>RP´s PROCESSADOS PAGOS                        (b)</t>
  </si>
  <si>
    <t>LIQUIDADOS</t>
  </si>
  <si>
    <t>PAGOS                       (c)</t>
  </si>
  <si>
    <t>RP´s NÃO PROCESSADOS</t>
  </si>
  <si>
    <t xml:space="preserve">   Disponibilidade de Caixa</t>
  </si>
  <si>
    <t xml:space="preserve">  Recursos Arrecadados em Exercícios Anteriores - RPPS</t>
  </si>
  <si>
    <t xml:space="preserve">  Superavit Fin. Utiliz. Abertura e Reabertura Créd. Adicionais </t>
  </si>
  <si>
    <t xml:space="preserve">    Ativos constituídos pela SPE</t>
  </si>
  <si>
    <t xml:space="preserve">    Obrigações contratuais</t>
  </si>
  <si>
    <t xml:space="preserve">    Riscos não Provisionados</t>
  </si>
  <si>
    <t xml:space="preserve">    Outros Passivos Contingentes</t>
  </si>
  <si>
    <t xml:space="preserve">    Garantias concedidas</t>
  </si>
  <si>
    <t>% Mínimo a  Aplicar no Exercício</t>
  </si>
  <si>
    <t xml:space="preserve">    Previdência Básica</t>
  </si>
  <si>
    <t xml:space="preserve">  Cooperação Internacional</t>
  </si>
  <si>
    <t xml:space="preserve">  Atenção Básica</t>
  </si>
  <si>
    <t xml:space="preserve">   Educação Básica</t>
  </si>
  <si>
    <t xml:space="preserve">   Ordenamento Territorial</t>
  </si>
  <si>
    <t>Atividades Ref. Navegação e Transporte</t>
  </si>
  <si>
    <t>Operações de Crédito - Mercado Interno</t>
  </si>
  <si>
    <t>Operações de Crédito - Mercado Externo</t>
  </si>
  <si>
    <t>Alienação de Bens Intangíveis</t>
  </si>
  <si>
    <t>Exploração Patrim. Imobiliário do Estado</t>
  </si>
  <si>
    <t>Valores Mobiliários</t>
  </si>
  <si>
    <t>Transferências União e suas Entidades</t>
  </si>
  <si>
    <t>Transferências de Outras Instit. Públicas</t>
  </si>
  <si>
    <t>Transf. Convênios Instituições Privadas</t>
  </si>
  <si>
    <t>Transf.dos Estados, DF e suas Entidades</t>
  </si>
  <si>
    <t>Multas Administ., Contratuais e Judiciais</t>
  </si>
  <si>
    <t xml:space="preserve">Demais Receitas Correntes </t>
  </si>
  <si>
    <t>Transfer. Estados, DF e suas Entidades</t>
  </si>
  <si>
    <t xml:space="preserve"> OPER. CRÉDITO / REFINANCIAMENTO (IV)</t>
  </si>
  <si>
    <t>DÍV. CONSOLIDADA LÍQUIDA (XXXI)=(XXVIII-XXIX)</t>
  </si>
  <si>
    <r>
      <t xml:space="preserve">          (-) Restos a Pagar Processados </t>
    </r>
    <r>
      <rPr>
        <b/>
        <sz val="11"/>
        <rFont val="Arial"/>
        <family val="2"/>
      </rPr>
      <t>(XXX)</t>
    </r>
  </si>
  <si>
    <t>VARIAÇÃO CAMBIAL (XXXV)</t>
  </si>
  <si>
    <t>PAGAM. DE PRECATÓRIOS INTEGRANTES DA DC (XXXVI)</t>
  </si>
  <si>
    <t>46- (+) INGRESSO DE  RECURSOS ATÉ O BIMESTRE</t>
  </si>
  <si>
    <t>47- (-) PAGAMENTOS EFETUADOS ATÉ O BIMESTRE</t>
  </si>
  <si>
    <t xml:space="preserve">      47.1 - Orçamento do Exercício</t>
  </si>
  <si>
    <t xml:space="preserve">      47.2 -  Restos a Pagar</t>
  </si>
  <si>
    <t>48- (+) RECEITA DE APLICAÇÃO FINANCEIRA DOS RECURSOS DO FUNDEB ATÉ O BIMESTRE</t>
  </si>
  <si>
    <t>49- (=) DISPONIBILIDADE FINANCEIRA ATÉ O BIMESTRE</t>
  </si>
  <si>
    <t>50- (+) Ajustes</t>
  </si>
  <si>
    <t xml:space="preserve">     50.1 (+) Retenções</t>
  </si>
  <si>
    <t xml:space="preserve">     50.2 (-) Valores a Recuperar</t>
  </si>
  <si>
    <t xml:space="preserve">     50.3 (+) Outros Valores Extraorçamentários</t>
  </si>
  <si>
    <t xml:space="preserve">     50.4 (+) Conciliação Bancária</t>
  </si>
  <si>
    <t>51- (=) SALDO FINANCEIRO CONCILIADO</t>
  </si>
  <si>
    <t xml:space="preserve">RESULTADOS PRIMÁRIO E NOMINAL </t>
  </si>
  <si>
    <t>Resultado Primário - Acima da Linha</t>
  </si>
  <si>
    <t>Resultado Nominal - Acima da Linha</t>
  </si>
  <si>
    <t xml:space="preserve">   Proteção e Benefícios ao Trabalhador</t>
  </si>
  <si>
    <t xml:space="preserve">  Transportes Coletivos Urbanos</t>
  </si>
  <si>
    <t xml:space="preserve">  Difusão Conhec.Cient. Tecnológico</t>
  </si>
  <si>
    <t>CÁLCULO ACIMA DA LINHA - DESPESAS PRIMÁRIAS</t>
  </si>
  <si>
    <r>
      <t>JUROS, ENCARGOS E VAR. MONETÁRIAS  ATIVOS</t>
    </r>
    <r>
      <rPr>
        <b/>
        <sz val="11"/>
        <rFont val="Arial"/>
        <family val="2"/>
      </rPr>
      <t xml:space="preserve"> (XXV)</t>
    </r>
  </si>
  <si>
    <r>
      <t>JUROS, ENCARGOS E VAR. MONET. PASSIVOS</t>
    </r>
    <r>
      <rPr>
        <b/>
        <sz val="11"/>
        <rFont val="Arial"/>
        <family val="2"/>
      </rPr>
      <t xml:space="preserve"> (XXVI)</t>
    </r>
  </si>
  <si>
    <t>RESULTADO NOMINAL        -        Acima da Linha                      (XXVII) = XXIV+(XXV-XXVI)</t>
  </si>
  <si>
    <t xml:space="preserve">                                                           </t>
  </si>
  <si>
    <t>DEMONSTRATIVO DAS RECEITAS E DESPESAS COM AÇÕES E SERVIÇOS PÚBLICOS DE SAÚDE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</si>
  <si>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</si>
  <si>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</si>
  <si>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</si>
  <si>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SALDO DE EXERCÍCIOS ANTERIORES </t>
  </si>
  <si>
    <t xml:space="preserve">  Recursos Arrecad. Exercícios Anteriores - RPPS</t>
  </si>
  <si>
    <t xml:space="preserve">  Superavit Fin. Utilizados para Créditos Adicionais</t>
  </si>
  <si>
    <t xml:space="preserve">   Serviços Adm. e Comerciais Gerais</t>
  </si>
  <si>
    <t xml:space="preserve">   Transferências a Municípios</t>
  </si>
  <si>
    <t xml:space="preserve">   Demais Despesas Correntes</t>
  </si>
  <si>
    <t xml:space="preserve">   Comp. Fin.entre Regimes Previdência</t>
  </si>
  <si>
    <t>(-) Transferências Obrigatórias da União relativas às emendas individuais (art.166-A,§ 1º da CF (IV)</t>
  </si>
  <si>
    <t>RCL AJUSTADA PARA CÁLCULO DOS LIMITES DE ENDIVIDAMENTO (V) = (III-IV)</t>
  </si>
  <si>
    <t>(-) Transferências Obrigatórias da União relativas às emendas de bancada (art.166,§ 16 da CF (VI)</t>
  </si>
  <si>
    <t>Janeiro-2021</t>
  </si>
  <si>
    <t>Fevereiro-2021</t>
  </si>
  <si>
    <t>PREVISÃO ATUALIZADA  2021</t>
  </si>
  <si>
    <t>Até o Bimestre de 2021</t>
  </si>
  <si>
    <t>AJUSTES RELATIVOS AO RPPS (XXXVII)</t>
  </si>
  <si>
    <t>OUTROS AJUSTES (XXXVIII)</t>
  </si>
  <si>
    <t>RESULTADO NOMINAL AJUSTADO - Abaixo da Linha (XXXIX)=(XXXII-XXXIII-IX+XXXIV+XXXV-XXXVI+XXXVII+XXXVIII)</t>
  </si>
  <si>
    <t>RESULTADO PRIMÁRIO    -      Abaixo da Linha                              (XL) = (XXXIX-(XXV-XXVI)</t>
  </si>
  <si>
    <t>Em 31 de               Dezembro de 2020           (b)</t>
  </si>
  <si>
    <t>Em 31 de        Dezembro de 2020          (g)</t>
  </si>
  <si>
    <t>Em 31 de Dezembro de 2020 (a)</t>
  </si>
  <si>
    <t>RECEITA DE IMPOSTOS (I)</t>
  </si>
  <si>
    <t xml:space="preserve">        IPTU</t>
  </si>
  <si>
    <t xml:space="preserve">        ITBI</t>
  </si>
  <si>
    <t xml:space="preserve">        ISS</t>
  </si>
  <si>
    <t>RECEITAS RESULTANTES DE IMPOSTOS E TRANSFERÊNCIAS CONSTITUCIONAIS E LEGAIS</t>
  </si>
  <si>
    <t>PREVISÃO ATUALIZADA                    (a)</t>
  </si>
  <si>
    <t>% ( b/a) x 100</t>
  </si>
  <si>
    <t xml:space="preserve">    Receita Resultante do Imposto Predial e Territorial Urbano - IPTU</t>
  </si>
  <si>
    <t xml:space="preserve">        Multas , Juros de Mora , Dívida Ativa e Outros Encargos do IPTU</t>
  </si>
  <si>
    <t xml:space="preserve">   Receita Resultante do Imposto sobre Transmissão de Bens Intervivos - ITBI</t>
  </si>
  <si>
    <t xml:space="preserve">        Multas , Juros de Mora , Dívida Ativa e Outros Encargos do ITBI</t>
  </si>
  <si>
    <t xml:space="preserve">  Receita Resultante do Imposto sobre Serviços de Qualquer Natureza - ISS</t>
  </si>
  <si>
    <t xml:space="preserve">        Multas , Juros de Mora , Dívida Ativa e Outros Encargos do ISS</t>
  </si>
  <si>
    <t xml:space="preserve">    Cota-Parte IPI-Exportação </t>
  </si>
  <si>
    <t xml:space="preserve">    Compensações Financeiras Provenientes de Transferências Constitucionais</t>
  </si>
  <si>
    <t xml:space="preserve">    Desoneração ICMS (LC 87/96)</t>
  </si>
  <si>
    <t xml:space="preserve">    Outras </t>
  </si>
  <si>
    <t>TOTAL DAS RECEITAS RESULTANTES DE IMPOSTOS E TRANSFERÊNCIAS CONSTITUCIONAIS E LEGAIS  (III) =(I + II)</t>
  </si>
  <si>
    <t>DESPESAS COM AÇÕES E SERVIÇOS PÚBLICOS DE SAÚDE(ASPS) - POR SUBFUNÇÃO E CATEGORIA ECONÔMICA</t>
  </si>
  <si>
    <t>DOTAÇÃO ATUALIZADA                    ( c )</t>
  </si>
  <si>
    <t>DESPESAS PAGAS</t>
  </si>
  <si>
    <t>INSCRITAS EM RPNP          (g)</t>
  </si>
  <si>
    <t xml:space="preserve">Até o Bimestre (d) </t>
  </si>
  <si>
    <t>%(d/c)x100</t>
  </si>
  <si>
    <t>Até o Bimestre        (e)</t>
  </si>
  <si>
    <t>%(e/c)x100</t>
  </si>
  <si>
    <t>%(f/c)x100</t>
  </si>
  <si>
    <t>ATENÇÃO BÁSICA (IV)</t>
  </si>
  <si>
    <t>ASSISTÊNCIA HOSPITALAR E AMBULATORIAL (V)</t>
  </si>
  <si>
    <t>SUPORTE PROFILÁTICO E TERAPÊUTICO (VI)</t>
  </si>
  <si>
    <t xml:space="preserve">VIGILÂNCIA SANITÁRIA (VII) </t>
  </si>
  <si>
    <t>VIGILÂNCIA EPIDEMIOLÓGICA (VIII)</t>
  </si>
  <si>
    <t>ALIMENTAÇÃO E NUTRIÇÃO (IX)</t>
  </si>
  <si>
    <t>TOTAL (XI) = (IV+V+VI+VII+VIII+IX+X)</t>
  </si>
  <si>
    <t>APURAÇÃO DO CUMPRIMENTO DO LIMITE MÍNIMO PARA APLICAÇÃO EM ASPS</t>
  </si>
  <si>
    <t xml:space="preserve">DESPESAS EMPENHADAS         (d) </t>
  </si>
  <si>
    <t xml:space="preserve">DESPESAS LIQUIDADAS           (e) </t>
  </si>
  <si>
    <t>DESPESAS PAGAS                                    (f)</t>
  </si>
  <si>
    <t>Total das Despesas com ASPS (XII) = (XI)</t>
  </si>
  <si>
    <t>(-) Restos a Pagar Não Processados Inscritos Indevidamente no Eercício sem Disponibilidade Financeira (XIII)</t>
  </si>
  <si>
    <t>(-) Desp. Custeadas com Rec.Vincul. à Parcela do  Perc. Mínimo não aplicada em ASPS em Exercícios Anteriores (XIV)</t>
  </si>
  <si>
    <t>(-) Despesas Custeadas com Disponibilidade de Caixa Vinculada aos Restos a Pagar Cancelados (XV)</t>
  </si>
  <si>
    <t>= VALOR APLICADO EM ASPS (XVI) = (XII-XIII-XIV-XV)</t>
  </si>
  <si>
    <t>Despesa Mínima a ser aplicada em ASPS (XVII) = (III)x15% (LC 141/2012)</t>
  </si>
  <si>
    <t>Despesa Mínima a ser aplicada em ASPS (XVII) = (III)x15% (Lei Orgânica Municipal)</t>
  </si>
  <si>
    <t>Diferença entre o Valor Aplicado e a Despesa Mínima a ser Aplicada (XVIII) = (XVII(d ou e)-XVIII)</t>
  </si>
  <si>
    <t>Limite não Cumprido (XIX) = XVIII (Quando o valor for inferior a zero)</t>
  </si>
  <si>
    <t>PERCENTUAL DA RECEITA DE IMPOSTOS E TRANSFERÊNCIAS CONSTITUCIONAIS E LEGAIS APLICADOS EM ASPS(XVI / III)*100 (mínimo de 15% conforme LC nº 141/2012 ou % da Lei Orgânica Municipal)</t>
  </si>
  <si>
    <t>CONTROLE DO VALOR REFERENTE AO PERCENTUAL MÍNIMO EM EXERCÍCIOS ANTERIORES PARA FINS DE APLICAÇÃO DOS RECURSOS VINCULADOS CONFORME ARTIGOS 25 E 26 DA LC 141/2012</t>
  </si>
  <si>
    <t>LIMITE NÃO CUMPRIDO</t>
  </si>
  <si>
    <t>Desp. Custeadas no Exercício de Referência</t>
  </si>
  <si>
    <t>Difer. de Lim. não Cumprido  em Exercícios Anteriores (Saldo Inicial igual ao saldo final do demonstrativo do exercício anterior)</t>
  </si>
  <si>
    <t>TOTAL DA DIFERENÇA DE LIMITE NÃO CUMPRIDO EM EXERCÍCIOS ANTERIORES (XX)</t>
  </si>
  <si>
    <t>EXECUÇÃO DE RESTOS A PAGAR</t>
  </si>
  <si>
    <t>EXERCÍCIO DO EMPENHO</t>
  </si>
  <si>
    <t>Empenhos de 2018</t>
  </si>
  <si>
    <t>Empenhos de 2017</t>
  </si>
  <si>
    <t>Despesas custeados no Exerc. de Referência</t>
  </si>
  <si>
    <t>RECEITAS ADICIONAIS PARA O FINANCIAMENTO DA SAÚDE NÃO COMPUTADAS NO CÁLCULO DO MÍNIMO</t>
  </si>
  <si>
    <t>PREVISÃO ATUALIZADA                     (a)</t>
  </si>
  <si>
    <t>Até o Bimestre                                (b)</t>
  </si>
  <si>
    <t>%(b/a)x100</t>
  </si>
  <si>
    <t>DESPESAS COM SAÚDE NÃO COMPUTADAS NO CÁLCULO DO MÍNIMO</t>
  </si>
  <si>
    <r>
      <t>DES</t>
    </r>
    <r>
      <rPr>
        <b/>
        <sz val="10"/>
        <rFont val="Arial"/>
        <family val="2"/>
      </rPr>
      <t>PESAS COM SAÚDE POR SUBFUNÇÕES E CATEGORIA ECONÔMICA NÃO COMPUTADAS NO CÁLCULO DO MÍNIMO</t>
    </r>
  </si>
  <si>
    <t>DOTAÇÃO ATUALIZADA          ( c )</t>
  </si>
  <si>
    <t>INSCRITAS EM RPNP (g)</t>
  </si>
  <si>
    <t xml:space="preserve">Até o Bimestre       (d) </t>
  </si>
  <si>
    <t xml:space="preserve">Até o Bimestre       (e) </t>
  </si>
  <si>
    <t xml:space="preserve">Até o Bimestre       (f) </t>
  </si>
  <si>
    <t>DESPESAS TOTAIS COM SAÚDE EXECUTADAS COM RECURSOS PRÓPRIOS E COM RECURSOS TRANSFERIDOS DE OUTROS ENTES</t>
  </si>
  <si>
    <t>DOTAÇÃO ATUALIZADA        ( c )</t>
  </si>
  <si>
    <t>(-) Despesas executadas com recursos transferidos de outros entes</t>
  </si>
  <si>
    <t>OUTRAS SUBFUNÇÕES (X)</t>
  </si>
  <si>
    <t>Saldo Inicial                                     (No Exercício Atual)                                      (h)</t>
  </si>
  <si>
    <t>Empenhadas         (i)</t>
  </si>
  <si>
    <t>Liquidadas            (j)</t>
  </si>
  <si>
    <t>Pagas                 (k)</t>
  </si>
  <si>
    <t>Diferença de Limite não Cumprido  em 2020 (Saldo Inicial = XIXd)</t>
  </si>
  <si>
    <t>Diferença de Limite não Cumprido  em 2019 (Saldo Inicial igual ao saldo final do demonstrativo do exercício anterior)</t>
  </si>
  <si>
    <t>Valor Mínimo para aplicação em ASPS  (m)</t>
  </si>
  <si>
    <t>Valor aplicado em ASPS no exercício (n)</t>
  </si>
  <si>
    <t>Empenhos de 2020</t>
  </si>
  <si>
    <t>Empenhos de 2019</t>
  </si>
  <si>
    <t>Empenhos de 2016 e anteriores</t>
  </si>
  <si>
    <t>Valor aplicado além do limite mínimo             (o) = (n-m)</t>
  </si>
  <si>
    <t>Total inscrito em RP no Exercício          (p)</t>
  </si>
  <si>
    <t>RPNP inscritos indevid. No exerc. Sem disp. Financeira q = (XIIId)</t>
  </si>
  <si>
    <t>Valor inscrito em RP considerado no limite                ( r ) = (p-(o+q))</t>
  </si>
  <si>
    <t xml:space="preserve">Saldo Final (Não Aplicado)                       (l)=(h- (I ou j)) </t>
  </si>
  <si>
    <t>Total de RP pagos (s)</t>
  </si>
  <si>
    <t>Total de RP a pagar                  (t)</t>
  </si>
  <si>
    <t>Total de RP cancelados ou prescritos           (u)</t>
  </si>
  <si>
    <t>Diferença entre o valor aplicado além do limite e o total de RP cancelados                    ( v) = ((o+q)-u))</t>
  </si>
  <si>
    <t>TOTAL DOS RESTOS A PAGAR CANCELADOS OU PRESCRITOS ATÉ O FINAL DO EXERCÍCIO ATUAL QUE AFETARAM O CUMPRIMENTO DO LIMITE (XXI) (Soma dos saldos negativos da coluna "v")</t>
  </si>
  <si>
    <t xml:space="preserve"> Restos a pagar cancelados ou prescritos em 2020 a ser compensados (XXIV) (Saldo inicial = XXIII)</t>
  </si>
  <si>
    <t>TOTAL DOS RESTOS A PAGAR CANCELADOS OU PRESCRITOS ATÉ O FINAL DO EXERCÍCIO ANTERIOR QUE AFETARAM O CUMPRIMENTO DO LIMITE (XXII) (Valor informado no demonstrativo do exercício anterior)</t>
  </si>
  <si>
    <t>TOTAL DOS RESTOS A PAGAR CANCELADOS OU PRESCRITOS NO EXERCÍCIO ATUAL QUE AFETARAM O CUMPRIMENTO DO LIMITE (XXIII) = (XXI-XXII) (Artigo 24 § 1º e 2º da LC 141/2012)</t>
  </si>
  <si>
    <t xml:space="preserve"> Restos a pagar cancelados ou prescritos em 2019 a ser compensados (XXV) (Saldo inicial igual ao daldo final do demonstrativo do exercício anterior)</t>
  </si>
  <si>
    <t xml:space="preserve"> Restos a pagar cancelados ou prescritos em exercícios anteriores a serem compensados (XXVI)  (Saldo inicial igual ao daldo final do demonstrativo do exercício anterior)</t>
  </si>
  <si>
    <t>TOTAL DE RESTOS A PAGAR CANCELADOS OU PRESCRITOS (XXVII)</t>
  </si>
  <si>
    <t xml:space="preserve">Saldo inicial       (w) </t>
  </si>
  <si>
    <t>Empenhadas (x)</t>
  </si>
  <si>
    <t>Liquidadas           (y)</t>
  </si>
  <si>
    <t>Pagas                   (z)</t>
  </si>
  <si>
    <t>Saldo Final (Não aplicado)                        (aa) =  ((w - (x ou y))</t>
  </si>
  <si>
    <t>RECEITAS DE TRANSFERÊNCIAS PARA A SAÚDE (XXVIII)</t>
  </si>
  <si>
    <t>RECEITAS DE OPER. DE CRÉDITO VINCULADAS À SAÚDE (XXIX)</t>
  </si>
  <si>
    <t>OUTRAS RECEITAS  (XXX)</t>
  </si>
  <si>
    <t>TOTAL DE RECEITAS ADICIONAIS PARA FINANCIAMENTO DA SAÚDE (XXXI) =(XXVIII+XXIX+XXX)</t>
  </si>
  <si>
    <t>ATENÇÃO BÁSICA (XXXII)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</si>
  <si>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</si>
  <si>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</si>
  <si>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</si>
  <si>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</si>
  <si>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</si>
  <si>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FUNÇÕES ( Apoio Administrativo e Manutenção ) (XXXVIII)</t>
  </si>
  <si>
    <t>TOTAL DAS DESPESAS NÃO COMPUTADAS NO CÁLCULO DO MÍNIMO                                                 (XXXIX) = (XXXII+XXXIII+XXXIV+XXXV+XXXVI+XXXVII+XXXVIII)</t>
  </si>
  <si>
    <t>ATENÇÃO BÁSICA (XL) = (IV+XXXII)</t>
  </si>
  <si>
    <t>ASSISTÊNCIA HOSPITALAR E AMBULATORIAL (XLI) = (V+XXXIII)</t>
  </si>
  <si>
    <t>SUPORTE PROFILÁTICO E TERAPÊUTICO (XLII) = (VI+XXXIV)</t>
  </si>
  <si>
    <t>VIGILÂNCIA SANITÁRIA (XLIII) = (VII+XXXV)</t>
  </si>
  <si>
    <t>VIGILÂNCIA EPIDEMIOLÓGICA (XLIV) = (VIII+XXXVI)</t>
  </si>
  <si>
    <t>ALIMENTAÇÃO E NUTRIÇÃO (XLV) = (IX+XXXVII)</t>
  </si>
  <si>
    <t>OUTRAS FUNÇÕES (XLVI) = (X+XXXVIII)</t>
  </si>
  <si>
    <t>TOTAL DAS DESPESAS COM SAÚDE (XLVII) = (XI+XXXIX)</t>
  </si>
  <si>
    <t xml:space="preserve">TOTAL DAS DESPESAS EXECUTADAS COM RECURSOS PRÓPRIOS (XLVIII) </t>
  </si>
  <si>
    <t>DO ENTE FEDERADO, EXCETO ESTATAIS NÃO DEPENDENTES (I) = (1.1 + 1.2)</t>
  </si>
  <si>
    <t>Contratadas (1.1.)</t>
  </si>
  <si>
    <t>A Contratar (1.2)</t>
  </si>
  <si>
    <t>Contratadas (II.1)</t>
  </si>
  <si>
    <t>A Contatar (II.2)</t>
  </si>
  <si>
    <t>RECEITA CORRENTE LÍQUIDA (RCL) (IV)</t>
  </si>
  <si>
    <t>TOTAL DAS DESPESAS DE PPP (III) = (I+II)</t>
  </si>
  <si>
    <t>TOTAL DAS DESPESAS CONSIDERADAS PARA O LIMITE (I)</t>
  </si>
  <si>
    <t>TOTAL DAS DESPESAS CONSIDERADAS PARA O LIMITE / RCL (%) (V) = I/IV)</t>
  </si>
  <si>
    <t>DAS ESTATAIS NÃO DEPENDENTES    (II) = (II.1 + II.2)</t>
  </si>
  <si>
    <t>Receita Corrente Líquida Ajustada para Cálculo dos Limites de Endividamento</t>
  </si>
  <si>
    <t>Receita Corrente Líquida Ajustada para Cálculo dos Limites da Despesa de Pessoal</t>
  </si>
  <si>
    <t>Fundo em Capitalização (PLANO PREVIDENCIÁRIO)</t>
  </si>
  <si>
    <t xml:space="preserve">   Despesas Previdenciárias Empenhadas </t>
  </si>
  <si>
    <t>Fundo em Repartição (PLANO FINANCEIRO)</t>
  </si>
  <si>
    <t>Receita de Alienação de Ativos</t>
  </si>
  <si>
    <t>Despesas Ações e Serv. Púb. Saúde executadas com recursos de impostos</t>
  </si>
  <si>
    <t>DESPESAS DE CARÁTER CONTINUADO DERIVADAS DE  PPP</t>
  </si>
  <si>
    <t xml:space="preserve">Total das Despesas Consideradas para o limite / RCL (%) </t>
  </si>
  <si>
    <t>REGIME PRÓPRIO DE PREVIDÊNCIA DOS SERVIDORES - RPPS</t>
  </si>
  <si>
    <t>Compensação Financeira entre os regimes</t>
  </si>
  <si>
    <t>Receita de Aportes Periód. Amortiz. Défcit Atuarial do RPPS (II)¹</t>
  </si>
  <si>
    <t>TOTAL DAS RECEITAS DO FUNDO EM CAPITALIZAÇÃO  (IV) = (I+III-II)</t>
  </si>
  <si>
    <t xml:space="preserve">RECEITAS REALIZADAS                                                                                                            </t>
  </si>
  <si>
    <t>DESPESAS PREVIDENCIÁRIAS - RPPS (FUNDO EM CAPITALIZAÇÃO)</t>
  </si>
  <si>
    <t>Benefícios</t>
  </si>
  <si>
    <t>Pensões por Morte</t>
  </si>
  <si>
    <t>Outras Despesas Providenciárias</t>
  </si>
  <si>
    <t>Demais Despesas Previdenciárias</t>
  </si>
  <si>
    <t>TOTAL DAS DESPESAS DO FUNDO EM CAPITALIZAÇÃO (V)</t>
  </si>
  <si>
    <t>RESULTADO PREVIDENCIÁRIO - FUNDO EM CAPITALIZAÇÃO (VI) = (IV-V)²</t>
  </si>
  <si>
    <t>RECURSOS RPPS ARRECADADOS EM EXERCÍCIOS ANTERIORES</t>
  </si>
  <si>
    <t xml:space="preserve">      VALOR</t>
  </si>
  <si>
    <t xml:space="preserve">APORTES DE RECURSOS PARA O FUNDO EM CAPITALIZAÇÃO DO RPPS
</t>
  </si>
  <si>
    <t>Caixa e Equivalentes de Caixa</t>
  </si>
  <si>
    <t>BENS E DIREITOS DO RPPS (FUNDO EM CAPITALIZAÇÃO)</t>
  </si>
  <si>
    <t>SALDO ATUAL</t>
  </si>
  <si>
    <t>FUNDO EM CAPITALIZAÇÃO (PLANO PREVIDENCIÁRIO)</t>
  </si>
  <si>
    <t>RECEITAS PREVIDENCIÁRIAS - RPPS (FUNDO EM CAPITALIZAÇÃO)</t>
  </si>
  <si>
    <t>FUNDO EM REPARTIÇÃO (PLANO FINANCEIRO)</t>
  </si>
  <si>
    <t>RECEITAS PREVIDENCIÁRIAS - RPPS (FUNDO EM REPARTIÇÃO)</t>
  </si>
  <si>
    <t>Compensação Previdenciária entre os regimes</t>
  </si>
  <si>
    <t>Até o Bimestre                                    (d)</t>
  </si>
  <si>
    <t>Até o Bimestre                                     (e)</t>
  </si>
  <si>
    <t xml:space="preserve">INSCRITAS EM RPNP </t>
  </si>
  <si>
    <t>Até o Bimestre             (f)</t>
  </si>
  <si>
    <t>DESPESAS PREVIDENCIÁRIAS - RPPS (FUNDO EM REPARTIÇÃO)</t>
  </si>
  <si>
    <t xml:space="preserve">APORTES DE RECURSOS PARA O FUNDO EM REPARTIÇÃO DO RPPS
</t>
  </si>
  <si>
    <t>Recursos para Cobertura de Insuficiência Financeira</t>
  </si>
  <si>
    <t>ADMINISTRAÇÃO DO REGIME PRÓPRIO DE PREVIDÊNCIA DOS SERVIDORES - RPPS</t>
  </si>
  <si>
    <t>RECEITAS DA ADMINISTRAÇÃO - RPPS</t>
  </si>
  <si>
    <t>Receitas  Correntes</t>
  </si>
  <si>
    <t>DESPESAS DA ADMINISTRAÇÃO - RPPS</t>
  </si>
  <si>
    <t xml:space="preserve">    Pessoal e Encargos Sociais</t>
  </si>
  <si>
    <t xml:space="preserve">    Demais Despesas Correntes</t>
  </si>
  <si>
    <t>BENEFÍCIOS PREVIDENCIÁRIOS MANTIDOS PELO TESOURO</t>
  </si>
  <si>
    <t>RECEITAS PREVIDENCIÁRIAS (BENEFÍCIOS MANTIDOS PELO TESOURO)</t>
  </si>
  <si>
    <t>Contribuições dos Servidores</t>
  </si>
  <si>
    <t>Demais Receitas Previdenciárias</t>
  </si>
  <si>
    <t>DESPESAS PREVIDENCIÁRIAS (BENEFÍCIOS MANTIDOS PELO TESOURO)</t>
  </si>
  <si>
    <t>Outras Despesas Previdenciárias</t>
  </si>
  <si>
    <t>TOTAL (VII) = (V+VI)</t>
  </si>
  <si>
    <t>Contribuição Custeio do S.I.Pública</t>
  </si>
  <si>
    <t>RECEITAS (EXC. INTRA-ORÇAMENT.) (I)</t>
  </si>
  <si>
    <t>SUBTOTAL DAS RECEITAS  (III) = (I + II)</t>
  </si>
  <si>
    <t>SUBTOTAL DAS DESPESAS (X) = (VIII + IX)</t>
  </si>
  <si>
    <t xml:space="preserve">            Referência: JANEIRO-FEVEREIRO/2021; BIMESTRE: JANEIRO-FEVEREIRO/2021</t>
  </si>
  <si>
    <t>Abril-2020</t>
  </si>
  <si>
    <t>Março-2020</t>
  </si>
  <si>
    <t>Maio-2020</t>
  </si>
  <si>
    <t>Junho-2020</t>
  </si>
  <si>
    <t>Julho-2020</t>
  </si>
  <si>
    <t>Agosto-2020</t>
  </si>
  <si>
    <t>Setembro-2020</t>
  </si>
  <si>
    <t>Outubro-2020</t>
  </si>
  <si>
    <t>Novembro-2020</t>
  </si>
  <si>
    <t>Dezembro-2020</t>
  </si>
  <si>
    <t>Até o Bimestre                                                                                                                                                                                                                                        (b)</t>
  </si>
  <si>
    <t>Até o Bimestre                                                                                                                                                                                                                                            (b)</t>
  </si>
  <si>
    <t>Até o Bimestre                                                                                                                                                                                                                                     (b)</t>
  </si>
  <si>
    <t xml:space="preserve">   Receita Resultante de Imposto de Renda e Proventos Qualquer Natureza Retido na Fonte IRRF</t>
  </si>
  <si>
    <t>PODER EXECUTIVO</t>
  </si>
  <si>
    <t>PODER LEGISLATIVO</t>
  </si>
  <si>
    <t xml:space="preserve">     Câmara Municipal</t>
  </si>
  <si>
    <t xml:space="preserve">      Tribunal de Contas do Município</t>
  </si>
  <si>
    <t>RESTOS A PAGAR (EXC. INTRA-ORÇAMENTÁRIOS) - ( I )</t>
  </si>
  <si>
    <t>RESTOS A PAGAR (INTRA-ORÇAMENTÁRIOS) - ( II )</t>
  </si>
  <si>
    <t>TOTAL ( III ) = ( I+II )</t>
  </si>
  <si>
    <t xml:space="preserve">   Administração de Receitas</t>
  </si>
  <si>
    <t xml:space="preserve">   Assistência Hospitalar e Ambulatorial</t>
  </si>
  <si>
    <t xml:space="preserve">   Direitos individuais, coletivos e difusos</t>
  </si>
  <si>
    <t>RCL AJUSTADA PARA CÁLCULO DOS LIMITES DA DESPESA DE PESSOAL   (VII) = (V-VI)</t>
  </si>
  <si>
    <t>2 - O resultado previdenciário será apresentado por meio da diferença entre previsão da receita e a dotação da despesa e entre a receita realizada e a despesa liquidada (do 1º ao 5º bimestre) e a despesa empenhada (6º bimestre)</t>
  </si>
  <si>
    <t xml:space="preserve">   Direitos indiv. coletivos e difusos</t>
  </si>
  <si>
    <t>Mínimo Anual de 70% do FUNDEB na Remuneração dos Profissionais da Educação Básica</t>
  </si>
  <si>
    <t>Percentual de 50% da Complementação da União ao FUNDEB (VAAT) na Educação Infantil</t>
  </si>
  <si>
    <t>Mínimo de 15% da Complementação da União ao FUNDEB (VAAT) em Despesas de Capital</t>
  </si>
  <si>
    <t>RESULTADO NOMINAL        -        Abaixo da Linha                                  (XXXII) = (XXXIa-XXXIb)</t>
  </si>
  <si>
    <t>VARIAÇÃO SALDO RPP (XXXIII) = (XXXa-XXXb)</t>
  </si>
  <si>
    <t>PASSIVOS RECONHECIDOS NA DC (XXXIV)</t>
  </si>
  <si>
    <t>RECEITA DE ALIENAÇÃO DE INVEST. PERMANENTES (IX)</t>
  </si>
  <si>
    <t xml:space="preserve">          </t>
  </si>
  <si>
    <t>RECEITA RESULTANTE DE IMPOSTOS (Art. 212 e 212-A da Constituição Federal)</t>
  </si>
  <si>
    <t xml:space="preserve">RECEITA RESULTANTE DE IMPOSTOS </t>
  </si>
  <si>
    <t xml:space="preserve">PREVISÃO ATUALIZADA                                           </t>
  </si>
  <si>
    <t xml:space="preserve">RECEITAS REALIZADAS                                                                                                                                                   </t>
  </si>
  <si>
    <t>1.1 Receita Resultante do Imposto sobre a Propriedade Predial e Territorial Urbana - IPTU</t>
  </si>
  <si>
    <t>1.2 Receita Resultante do Imposto sobre a Transmissão Inter Vivos - ITBI</t>
  </si>
  <si>
    <t>1.3 Receita Resultante do Imposto sobre a Serviços de Qualquer Natureza - ISS</t>
  </si>
  <si>
    <t>1.4 Receita Resultante do Imposto de Renda Retido na Fonte - IRRF</t>
  </si>
  <si>
    <t>2. RECEITA DE TRANSFERÊNCIAS CONSTITUCIONAIS E LEGAIS</t>
  </si>
  <si>
    <t xml:space="preserve">    2.1.2 - Parcela referente à CF - art. 159, I, alínea "d" e "e"</t>
  </si>
  <si>
    <t>2.3 Cota-Parte IPI-Exportação LC 61/1989</t>
  </si>
  <si>
    <t xml:space="preserve">2.4 Cota-Parte ITR </t>
  </si>
  <si>
    <t xml:space="preserve">2.5 Cota-Parte IPVA </t>
  </si>
  <si>
    <t xml:space="preserve">2.6 Cota-Parte IOF-Ouro </t>
  </si>
  <si>
    <t xml:space="preserve">2.7 Compensações Financeiras Provenientes de Impostos e Transferência Constitucionais </t>
  </si>
  <si>
    <t>3. TOTAL DA RECEITA RESULTANTE DE IMPOSTOS (1+2)</t>
  </si>
  <si>
    <t>4. TOTAL D ESTINADO AO FUNDEB - 20% DE (2.1.1)+(2.2)+(2.3)+(2.4)+(2.5)</t>
  </si>
  <si>
    <t xml:space="preserve">5. VALOR MÍNIMO A SER APLICADO ALÉM DO VALOR DESTINADO AO FUNDEB - 5% DE ((2.1.1)+(2.2)+(2.3)+(2.4)+(2.5) + 25% DE (1.1)+(1.2)+(1.3)+(1.4)+(2.1.2)+(2.6)+(2.7)) </t>
  </si>
  <si>
    <t>RECEITAS RECEBIDAS DO FUNDEB NO EXERCÍCIO</t>
  </si>
  <si>
    <t xml:space="preserve">PREVISÃO ATUALIZADA                                        </t>
  </si>
  <si>
    <t xml:space="preserve">RECEITAS REALIZADAS                                                                                                                               </t>
  </si>
  <si>
    <t xml:space="preserve">    6. RECEITAS RECEBIDAS DO FUNDEB</t>
  </si>
  <si>
    <t xml:space="preserve">       6.1 - FUNDEB - Impostos e Transferências de Impostos</t>
  </si>
  <si>
    <t xml:space="preserve">          6.1.1 - Principal</t>
  </si>
  <si>
    <t xml:space="preserve">          6.1.2 - Rendimento de Aplicação Financeira</t>
  </si>
  <si>
    <t xml:space="preserve">    6.2. FUNDEB - Complementação da União - VAAF</t>
  </si>
  <si>
    <t xml:space="preserve">          6.2.1 - Principal</t>
  </si>
  <si>
    <t xml:space="preserve">          6.2.2 - Rendimento de Aplicação Financeira</t>
  </si>
  <si>
    <t xml:space="preserve">    6.3. FUNDEB - Complementação da União - VAAF</t>
  </si>
  <si>
    <t xml:space="preserve">          6.3.1 - Principal</t>
  </si>
  <si>
    <t xml:space="preserve">          6.3.2 - Rendimento de Aplicação Financeira</t>
  </si>
  <si>
    <t>7. RESULTADO LÍQUIDO DAS TRANSFERÊNCIAS DO FUNDEB (6.1.1. - 4)</t>
  </si>
  <si>
    <t>RECURSOS RECEBIDOS EM EXERCÍCIOS ANTERIORES E NÃO UTILIZADOS (SUPERÁVIT)</t>
  </si>
  <si>
    <t>8 - TOTAL DOS RECURSOS DE SUPERÁVIT</t>
  </si>
  <si>
    <t xml:space="preserve">     8.1 - SUPERÁVIT DO EXERCÍCIO IMEDIATAMENTE ANTERIOR</t>
  </si>
  <si>
    <t xml:space="preserve">     8.2 - SUPERÁVIT RESIDUAL DE OUTROS EXERCÍCIOS</t>
  </si>
  <si>
    <t>9 - TOTAL DOS RECURSOS DO FUNDEB DISPONÍVEIS PARA UTILIZAÇÃO (6+8)</t>
  </si>
  <si>
    <t>DOTAÇÃO ATUALIZADA                   ( c )</t>
  </si>
  <si>
    <t>DESPESAS EMPENHADAS                  Até o Bimestre                        (d)</t>
  </si>
  <si>
    <t xml:space="preserve">DESPESAS LIQUIDADAS                  Até o Bimestre                                          (e)    </t>
  </si>
  <si>
    <t>10. PROFISSIONAIS DA EDUCAÇÃO BÁSICA</t>
  </si>
  <si>
    <t xml:space="preserve">  10.1 - Educação Infantil </t>
  </si>
  <si>
    <t xml:space="preserve">      10.1.1. Creche</t>
  </si>
  <si>
    <t xml:space="preserve">      10.1.2. Pré-escola</t>
  </si>
  <si>
    <t xml:space="preserve">  10.2 - Ensino Fundamental</t>
  </si>
  <si>
    <t>11. OUTRAS DESPESAS</t>
  </si>
  <si>
    <t xml:space="preserve">     11.1. Educação Infantil</t>
  </si>
  <si>
    <t xml:space="preserve">        11.1.1 - Creche</t>
  </si>
  <si>
    <t xml:space="preserve">        11.1.2. Pré-escola</t>
  </si>
  <si>
    <t xml:space="preserve">    11.2. Ensino Fundamental </t>
  </si>
  <si>
    <t>12 .TOTAL DAS DESPESAS COM RECURSOS DO FUNDEB  (10+11)</t>
  </si>
  <si>
    <t>DESPESAS CUSTEADAS COM RECEITAS DO FUNDEB RECEBIDAS NO EXERCÍCIO</t>
  </si>
  <si>
    <t>DESPESAS LIQUIDADADAS                  Até o Bimestre               (e)</t>
  </si>
  <si>
    <t>DESPESAS PAGAS                            Até o Bimestre                                          (f)</t>
  </si>
  <si>
    <t>INSCRITAS EM RPNP                              (g)</t>
  </si>
  <si>
    <t>INSCRITAS EM RPNP (SEM DISPONIBILIDADE DE CAIXA)                                  (h)</t>
  </si>
  <si>
    <t>13 - Total das Despesas do FUNDEB com Profissionais da Educação Básica</t>
  </si>
  <si>
    <t>14 - Total das Despesas do FUNDEB - Impostos e Transferências de Impostos</t>
  </si>
  <si>
    <t>15 - Total das Despesas do FUNDEB - Complementação da União - VAAF</t>
  </si>
  <si>
    <t>16 - Total das Despesas do FUNDEB - Complementação da União - VAAT</t>
  </si>
  <si>
    <t>17 - Total das Despesas do FUNDEB - Comp.União - VAAT - Aplicada na Educação Infantil</t>
  </si>
  <si>
    <t>18 - Total das Despesas do FUNDEB - Comp.União - VAAT - Aplicada em Despesa de Capital</t>
  </si>
  <si>
    <t>INDICADORES - Art. 212-A, Inciso XI e § 3º - Constituição Federal²</t>
  </si>
  <si>
    <t>VALOR EXIGIDO                                                             (i)</t>
  </si>
  <si>
    <t xml:space="preserve">VALOR APLICADO                         </t>
  </si>
  <si>
    <t>% APLICADO                                                     (l)</t>
  </si>
  <si>
    <t>19 - Mínimo de 70% do FUNDEB na Remuneração dos Profissionais da Educação Básica</t>
  </si>
  <si>
    <t>20 - Percentual de 50% da Comp. União ao FUNDEB (VAAT) na Educação Infantil</t>
  </si>
  <si>
    <t>21 - Mínimo de 15% da Comp. União ao FUNDEB (VAAT) em Despesas de Capital</t>
  </si>
  <si>
    <t>INDICADOR - Art. 25, § 3º - Lei nº 14.113, de 2020 (Máximo de 10% de Superávit)³</t>
  </si>
  <si>
    <t>VALOR MÁXIMO PERMITIDO                                                             (m)</t>
  </si>
  <si>
    <t>VALOR APLICADO                              (n)</t>
  </si>
  <si>
    <t>% NÃO APLICADO                                            (p)</t>
  </si>
  <si>
    <t>22 - Total da Receita Recebida e não aplicada no Exercício</t>
  </si>
  <si>
    <t>INDICADOR - Art. 25, § 3º - Lei nº 14.113, de 2020 (Aplicado do Superávit de Exercício Anterior)³</t>
  </si>
  <si>
    <t>VALOR NÃO APLICADO NO EXERCÍCIO ANTERIOR         (r)</t>
  </si>
  <si>
    <t>VALOR DE SUPERÁVIT APLICADO ATÉ O PRIMEIRO QUADRIMESTRE                             (s)</t>
  </si>
  <si>
    <t>VALOR APLICADO APÓS O PRIMEIRO QUADRIMESTRE               (u)</t>
  </si>
  <si>
    <t>23 - Total das Despesas Custeadas com Superávit do FUNDEB</t>
  </si>
  <si>
    <t xml:space="preserve">    23.1 - Total das Despesas Custeadas com FUNDEB - Impostos e Transferências de Impostos</t>
  </si>
  <si>
    <t xml:space="preserve">    23.2 -Total das Despesas Custeadas com FUNDEB - Complementação da União (VAAF+VAAT)</t>
  </si>
  <si>
    <t>DESPESAS COM MANUTENÇÃO E DESENVOLVIMENTO DO ENSINO - MDE - CUSTEADAS COM RECEITAS DE IMPOSTOS (EXCETO FUNDEB)</t>
  </si>
  <si>
    <t>24 - Educação Infantil</t>
  </si>
  <si>
    <t>24.1 - Creche</t>
  </si>
  <si>
    <t>24.2 - Pré-escola</t>
  </si>
  <si>
    <t>25 - Ensino Fundamental</t>
  </si>
  <si>
    <t>26 - TOTAL DAS DESPESAS COM AÇÕES TÍPICAS DE MDE (24+25)</t>
  </si>
  <si>
    <t>APURAÇÃO DAS DESPESAS PARA FINS DE LIMITE MÍNIMO CONSTITUCIONAL</t>
  </si>
  <si>
    <t>27 - TOTAL DAS DESPESAS DE MDE CUSTEADAS COM RECURSOS DE IMPOSTOS (FUNDEB E RECEITA DE IMPOSTOS) =(L14 (d ou e) + L26 (d ou e) +L23.1 (t)</t>
  </si>
  <si>
    <t>28 - (-) RESULTADO LÍQUIDO DAS TRANSFERÊNCIAS DO FUNDEB  =  (L7)</t>
  </si>
  <si>
    <t>29 - (-) RESTOS A PAGAR NÃO PROCESSADOS INSCRITOS NO EXERCÍCIO SEM DISPONIBILIDADE FINANCEIRA DE RECURSOS DO FUNDEB - IMPOSTOS4 - = (L14 h)</t>
  </si>
  <si>
    <t>31 - (-) CANCELAMENTO, NO EXERCÍCIO, DE RESTOS A PAGAR INSCRITOS COM DISPONIBILIDADE FINANCEIRA DE RECURSOS DE IMPOSTOS VINCULADOS AO ENSINO = (L34.1 (ac) +(L34.2 (ac))</t>
  </si>
  <si>
    <t>32 - TOTAL DAS DESPESAS PARA FINS DE LIMITE (27-(28+29+30+31))</t>
  </si>
  <si>
    <t>VALOR EXIGIDO                                                                                                                            (x)</t>
  </si>
  <si>
    <t>33 - APLICAÇÃO EM MDE SOBRE A RECEITA RESULTANTE DE IMPOSTOS</t>
  </si>
  <si>
    <t>RESTOS A PAGAR INSCRITOS EM EXERCICIOS ANTERIORES COM DISPONIBILIDADE FINANCEIRA DE RECURSOS DE IMPOSTOS E DO FUNDEB</t>
  </si>
  <si>
    <t>RP LIQUIDADOS                 (aa)</t>
  </si>
  <si>
    <t>RP PAGOS                                          (ab)</t>
  </si>
  <si>
    <t>34 - RESTOS A PAGAR COM DESPESAS DE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</si>
  <si>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</si>
  <si>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</si>
  <si>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Impostos - Complementação da União (VAAT+VAAF)</t>
  </si>
  <si>
    <t xml:space="preserve">PREVISÃO ATUALIZADA                                                                 </t>
  </si>
  <si>
    <t xml:space="preserve">RECEITAS REALIZADAS                                                                                                                                                </t>
  </si>
  <si>
    <t>Até o Bimeste</t>
  </si>
  <si>
    <t>35 - RECEITA DE TRANSFERÊNCIAS DO FNDE (Incluindo Rendimentos de Aplicação Financeira)</t>
  </si>
  <si>
    <t xml:space="preserve">      35.1 - Salário Educação</t>
  </si>
  <si>
    <t xml:space="preserve">      35.2 - PDDE</t>
  </si>
  <si>
    <t xml:space="preserve">      35.3 - PNAE</t>
  </si>
  <si>
    <t xml:space="preserve">      35.4 - PNATE</t>
  </si>
  <si>
    <t xml:space="preserve">      35.5 - Outras Transferências do FNDE</t>
  </si>
  <si>
    <t>36 - RECEITA DE TRANSFERÊNCIAS DE CONVÊNIO</t>
  </si>
  <si>
    <t>37 - RECEITA DE ROYALTIES DESTINADOS À EDUCAÇÃO</t>
  </si>
  <si>
    <t>38 - RECEITA DE OPERAÇÕES DE CRÉDITO VINCULADAS À EDUCAÇÃO</t>
  </si>
  <si>
    <t>39 - OUTRAS RECEITAS PARA FINANCIAMENTO DO ENSINO</t>
  </si>
  <si>
    <t>40 - TOTAL DAS RECEITAS ADICIONAIS PARA FINANCIAMENTO DO ENSINO = (35+36+37+38+39)</t>
  </si>
  <si>
    <t xml:space="preserve">DESPESAS CUSTEADAS COM RECEITAS ADICIONAIS PARA FINANCIAMENTO DO ENSINO (6)           (Por área de atuação) </t>
  </si>
  <si>
    <t>41 - EDUCAÇÃO INFANTIL</t>
  </si>
  <si>
    <t xml:space="preserve">     41.1 - Creche</t>
  </si>
  <si>
    <t xml:space="preserve">     41.2 - Pré-escola</t>
  </si>
  <si>
    <t>42 - ENSINO FUN DAMENTAL</t>
  </si>
  <si>
    <t>43 - ENSINO MÉDIO</t>
  </si>
  <si>
    <t>44 - ENSINO SUPERIOR</t>
  </si>
  <si>
    <t>45 - ENSINO PROFISSIONAL NÃO INTEGRADO AO ENSINO REGULAR</t>
  </si>
  <si>
    <t>46 - TOTAL DAS DESPESAS CUSTEADAS COM RECEITAS ADICIONAIS PARA FINANCIAMENTO DO ENSINO = (41+42+43+44+45)</t>
  </si>
  <si>
    <t>TOTAL GERAL DAS DESPESAS COM EDUCAÇÃO</t>
  </si>
  <si>
    <t>47 - TOTAL GERAL DAS DESPESAS COM EDUCAÇÃO (12+26+46)</t>
  </si>
  <si>
    <t xml:space="preserve">   47.1 - Despesas Correntes</t>
  </si>
  <si>
    <t xml:space="preserve">       47.1.1 - Pessoal Ativo</t>
  </si>
  <si>
    <t xml:space="preserve">       47.1.2 - Pessoal Inativo</t>
  </si>
  <si>
    <t xml:space="preserve">       47.1.3 - Transferências às Instituições Comunitárias, confessionais ou filantrópicas sem fins lucrativos</t>
  </si>
  <si>
    <t xml:space="preserve">       47.1.4 - Outras Despesas Correntes</t>
  </si>
  <si>
    <t xml:space="preserve">  47.2 - Despesas de Capital</t>
  </si>
  <si>
    <t xml:space="preserve">       47.2.1 - Transferências às Instituições Comunitárias, confessionais ou filantrópicas sem fins lucrativos</t>
  </si>
  <si>
    <t xml:space="preserve">       47.2.2 - Outras Despesas Correntes</t>
  </si>
  <si>
    <t>CONTROLE DA DISPONIBILIDADE FINANCEIRA E CONCILIAÇÃO BANCÁRIA</t>
  </si>
  <si>
    <t xml:space="preserve">INSCRITAS EM RESTOS A PAGAR NÃO PROCESSADOS                         </t>
  </si>
  <si>
    <t xml:space="preserve">  (f)</t>
  </si>
  <si>
    <t xml:space="preserve">DESPESAS PAGAS                                Até o Bimestre             </t>
  </si>
  <si>
    <t>VALOR NÃO APLICADO APÓS AJUSTE                                                       (o)</t>
  </si>
  <si>
    <t>VALOR CONSIDERADO APÓS DEDUÇÕES                                                (k)</t>
  </si>
  <si>
    <t>VALOR APLIC. ATÉ O PRIMEIRO QUAD. QUE INTEGRARÁ O LIMITE CONSTITUCIONAL                                                (t)</t>
  </si>
  <si>
    <t>VALOR NÃO APLICADO                     (v)</t>
  </si>
  <si>
    <t xml:space="preserve"> (f)</t>
  </si>
  <si>
    <t xml:space="preserve">DESPESAS PAGAS                                Até o Bimestre              </t>
  </si>
  <si>
    <t xml:space="preserve">INXCRITAS EM RESTOS A PAGAR NÃO PROCESSADOS                        </t>
  </si>
  <si>
    <t>DESPESAS COM AÇÕES TÍPICAS DE MDE - RECEITAS DE IMPOSTOS - EXCETO FUNDEB                        (Por Área de Atuação)</t>
  </si>
  <si>
    <t xml:space="preserve">INSCRITAS EM RESTOS A PAGAR NÃO PROCESSADOS                                           </t>
  </si>
  <si>
    <t xml:space="preserve">DESPESAS PAGAS                                                                           Até o Bimestre              </t>
  </si>
  <si>
    <t xml:space="preserve">DESPESAS PAGAS                                                                         Até o Bimestre            </t>
  </si>
  <si>
    <t>RP CANCELADOS                                                  (ac)</t>
  </si>
  <si>
    <t>SALDO FINAL                                      (ad)</t>
  </si>
  <si>
    <t>VALOR APLICADO                                                  (w)</t>
  </si>
  <si>
    <t>% APLICADO                                       (y)</t>
  </si>
  <si>
    <t>DESPESAS COM RECURSOS DO FUNDEB                                                                                                            (Por área de atuação)</t>
  </si>
  <si>
    <t>DESPESAS EMPENHADAS                  Até o Bimestre                          (d)</t>
  </si>
  <si>
    <t>VALOR DE SUPERÁVIT PERMITIDO NO EXERCÍCIO ANTERIOR                                       (q)</t>
  </si>
  <si>
    <t>SALDO INICIAL                                (z)</t>
  </si>
  <si>
    <t>RECEITAS CORRENTES (VII)</t>
  </si>
  <si>
    <t xml:space="preserve">RECEITAS DE CAPITAL (VIII) </t>
  </si>
  <si>
    <t>TOTAL DAS RECEITAS DO FUNDO EM REPARTIÇÃO  (IX)</t>
  </si>
  <si>
    <t>TOTAL DAS DESPESAS DO FUNDO EM REPARTIÇÃO (X)</t>
  </si>
  <si>
    <t>RESULTADO PREVIDENCIÁRIO - FUNDO EM REPARTIÇÃO (XI) = (IX-X)</t>
  </si>
  <si>
    <t>TOTAL RECEITAS DA ADMINISTRAÇÃO - RPPS (XII)</t>
  </si>
  <si>
    <t>Despesas Correntes (XIII)</t>
  </si>
  <si>
    <t>Despesas de Capital  (XIV)</t>
  </si>
  <si>
    <t>TOTAL DESPESAS DA ADMINISTRAÇÃO - RPPS (XV) = (XIII+XIV)</t>
  </si>
  <si>
    <t>RESULTADO ADMINISTRAÇÃO - RPPS (XVI) =(XII-XV)</t>
  </si>
  <si>
    <t>TOTAL DAS RECEITAS (BENEFÍCIOS MANTIDOS PELO TESOURO) (XVII)</t>
  </si>
  <si>
    <t>TOTAL DAS DESPESAS (BNENEFÍCIOS MANTIDOS PELO TESOURO) (XVIII)</t>
  </si>
  <si>
    <t>RESULTADO DOS BENEFÍCIOS MANTIDOS PELO TESOURO (XIX) = (XVII-XVIII)²</t>
  </si>
  <si>
    <t>No Exercício                  (g)</t>
  </si>
  <si>
    <t>No Exercício                 (g)</t>
  </si>
  <si>
    <t xml:space="preserve">  São Luís, 24 de março de 2021</t>
  </si>
  <si>
    <t xml:space="preserve">INSCRITAS EM RESTOS A PAGAR NÃO PROCESSADOS                        </t>
  </si>
  <si>
    <t>CONTROLE DE RESTOS A PAGAR CANCELADOS OU PRESCRITOS CONSIDERADOS PARA FINS DE APLICAÇÃO DA DISPONIBILIDADE DE CAIXA CONFORME ARTIGO              24 § 1º E 2º DA LC 141/2012</t>
  </si>
  <si>
    <r>
      <t xml:space="preserve">30 - (-) RESTOS A PAGAR NÃO PROCESSADOS INSCRITOS NO EXERCÍCIO SEM DISPONIBILIDADE FINANCEIRA DE RECURSOS DE IMPOSTOS </t>
    </r>
    <r>
      <rPr>
        <vertAlign val="superscript"/>
        <sz val="11"/>
        <rFont val="Arial"/>
        <family val="2"/>
      </rPr>
      <t>(4 e 7)</t>
    </r>
  </si>
  <si>
    <r>
      <t xml:space="preserve">APURAÇÃO DO LIMITE MÍNIMO CONSTITUCIONAL </t>
    </r>
    <r>
      <rPr>
        <b/>
        <vertAlign val="superscript"/>
        <sz val="11"/>
        <rFont val="Arial"/>
        <family val="2"/>
      </rPr>
      <t>(2 e 5)</t>
    </r>
  </si>
  <si>
    <t>48- DISPONIBILIDADE FINANCEIRA EM 31 DE DEZEMBRO DO EXERCÍCIO ANTERIOR</t>
  </si>
  <si>
    <t>Até o Bimestre     (f)</t>
  </si>
  <si>
    <t>Até o Bimestre                                                         (b)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</si>
</sst>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* #,##0.00_);_(* \(#,##0.00\);_(* \-??_);_(@_)"/>
    <numFmt numFmtId="172" formatCode="&quot;R$ &quot;#,##0.00_);[Red]&quot;(R$ &quot;#,##0.00\)"/>
    <numFmt numFmtId="173" formatCode="#,##0.00;[Red]#,##0.00"/>
    <numFmt numFmtId="174" formatCode="0.00_);[Red]\(0.00\)"/>
    <numFmt numFmtId="175" formatCode="mm/yy"/>
    <numFmt numFmtId="176" formatCode="&quot;R$ &quot;#,##0.00_);[Red]\(&quot;R$ &quot;#,##0.00\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_(* #,##0.0_);_(* \(#,##0.0\);_(* \-??_);_(@_)"/>
    <numFmt numFmtId="182" formatCode="[$-416]dddd\,\ d&quot; de &quot;mmmm&quot; de &quot;yyyy"/>
    <numFmt numFmtId="183" formatCode="#,##0.00_ ;[Red]\-#,##0.00\ "/>
    <numFmt numFmtId="184" formatCode="&quot;R$&quot;\ #,##0.00"/>
    <numFmt numFmtId="185" formatCode="0.0000"/>
    <numFmt numFmtId="186" formatCode="0.000"/>
    <numFmt numFmtId="187" formatCode="0.000%"/>
    <numFmt numFmtId="188" formatCode="0.0000%"/>
    <numFmt numFmtId="189" formatCode="0.00000%"/>
    <numFmt numFmtId="190" formatCode="0.0%"/>
    <numFmt numFmtId="191" formatCode="0.0000000"/>
    <numFmt numFmtId="192" formatCode="0.000000"/>
    <numFmt numFmtId="193" formatCode="0.00000"/>
    <numFmt numFmtId="194" formatCode="#,##0.0;\-#,##0.0"/>
    <numFmt numFmtId="195" formatCode="0.000000000"/>
    <numFmt numFmtId="196" formatCode="0.0000000000"/>
    <numFmt numFmtId="197" formatCode="0.00000000"/>
    <numFmt numFmtId="198" formatCode="_(* #,##0_);_(* \(#,##0\);_(* \-??_);_(@_)"/>
  </numFmts>
  <fonts count="10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ahoma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Segoe UI"/>
      <family val="2"/>
    </font>
    <font>
      <sz val="9"/>
      <name val="Segoe U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23"/>
      <name val="Arial"/>
      <family val="2"/>
    </font>
    <font>
      <b/>
      <sz val="11"/>
      <color indexed="22"/>
      <name val="Arial"/>
      <family val="2"/>
    </font>
    <font>
      <sz val="10"/>
      <color indexed="8"/>
      <name val="Arial"/>
      <family val="2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7"/>
      <color indexed="8"/>
      <name val="Times New Roman"/>
      <family val="1"/>
    </font>
    <font>
      <sz val="1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70C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0"/>
      <color theme="1" tint="0.49998000264167786"/>
      <name val="Arial"/>
      <family val="2"/>
    </font>
    <font>
      <b/>
      <sz val="11"/>
      <color theme="0" tint="-0.1499900072813034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/>
      <bottom/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/>
      <top style="thin"/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21" borderId="5" applyNumberFormat="0" applyAlignment="0" applyProtection="0"/>
    <xf numFmtId="41" fontId="0" fillId="0" borderId="0" applyFont="0" applyFill="0" applyBorder="0" applyAlignment="0" applyProtection="0"/>
    <xf numFmtId="171" fontId="0" fillId="0" borderId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171" fontId="0" fillId="0" borderId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ill="0" applyBorder="0" applyAlignment="0" applyProtection="0"/>
    <xf numFmtId="43" fontId="73" fillId="0" borderId="0" applyFont="0" applyFill="0" applyBorder="0" applyAlignment="0" applyProtection="0"/>
  </cellStyleXfs>
  <cellXfs count="226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71" fontId="2" fillId="0" borderId="0" xfId="84" applyFont="1" applyFill="1" applyBorder="1" applyAlignment="1" applyProtection="1">
      <alignment/>
      <protection/>
    </xf>
    <xf numFmtId="0" fontId="2" fillId="0" borderId="0" xfId="0" applyNumberFormat="1" applyFont="1" applyBorder="1" applyAlignment="1">
      <alignment/>
    </xf>
    <xf numFmtId="171" fontId="3" fillId="0" borderId="0" xfId="84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/>
    </xf>
    <xf numFmtId="171" fontId="3" fillId="0" borderId="0" xfId="84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>
      <alignment horizontal="left" indent="7"/>
    </xf>
    <xf numFmtId="171" fontId="3" fillId="0" borderId="0" xfId="84" applyFont="1" applyFill="1" applyBorder="1" applyAlignment="1" applyProtection="1">
      <alignment horizontal="right"/>
      <protection/>
    </xf>
    <xf numFmtId="171" fontId="3" fillId="0" borderId="0" xfId="84" applyFont="1" applyFill="1" applyBorder="1" applyAlignment="1" applyProtection="1">
      <alignment horizontal="center"/>
      <protection/>
    </xf>
    <xf numFmtId="172" fontId="3" fillId="0" borderId="0" xfId="84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171" fontId="2" fillId="0" borderId="0" xfId="0" applyNumberFormat="1" applyFont="1" applyFill="1" applyBorder="1" applyAlignment="1">
      <alignment/>
    </xf>
    <xf numFmtId="171" fontId="3" fillId="0" borderId="10" xfId="84" applyFont="1" applyFill="1" applyBorder="1" applyAlignment="1" applyProtection="1">
      <alignment vertical="center"/>
      <protection/>
    </xf>
    <xf numFmtId="171" fontId="3" fillId="0" borderId="11" xfId="84" applyFont="1" applyFill="1" applyBorder="1" applyAlignment="1" applyProtection="1">
      <alignment vertical="center"/>
      <protection/>
    </xf>
    <xf numFmtId="171" fontId="4" fillId="0" borderId="0" xfId="84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Fill="1" applyAlignment="1">
      <alignment horizontal="left" vertical="center"/>
    </xf>
    <xf numFmtId="173" fontId="9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Fill="1" applyAlignment="1">
      <alignment/>
    </xf>
    <xf numFmtId="171" fontId="11" fillId="0" borderId="0" xfId="0" applyNumberFormat="1" applyFont="1" applyFill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171" fontId="14" fillId="0" borderId="0" xfId="84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11" fillId="0" borderId="0" xfId="54" applyFont="1" applyAlignment="1">
      <alignment horizontal="center" vertical="center"/>
      <protection/>
    </xf>
    <xf numFmtId="0" fontId="11" fillId="0" borderId="0" xfId="54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54" applyFont="1" applyFill="1" applyAlignment="1">
      <alignment horizontal="center" vertical="center"/>
      <protection/>
    </xf>
    <xf numFmtId="0" fontId="12" fillId="0" borderId="0" xfId="54" applyFont="1" applyAlignment="1">
      <alignment horizontal="center" vertical="center"/>
      <protection/>
    </xf>
    <xf numFmtId="3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70" fontId="11" fillId="0" borderId="0" xfId="0" applyNumberFormat="1" applyFont="1" applyFill="1" applyAlignment="1">
      <alignment/>
    </xf>
    <xf numFmtId="170" fontId="2" fillId="0" borderId="0" xfId="0" applyNumberFormat="1" applyFont="1" applyAlignment="1">
      <alignment horizontal="center"/>
    </xf>
    <xf numFmtId="174" fontId="9" fillId="0" borderId="0" xfId="0" applyNumberFormat="1" applyFont="1" applyFill="1" applyAlignment="1">
      <alignment/>
    </xf>
    <xf numFmtId="0" fontId="11" fillId="0" borderId="0" xfId="57" applyFont="1" applyFill="1" applyAlignment="1">
      <alignment horizontal="center"/>
      <protection/>
    </xf>
    <xf numFmtId="0" fontId="11" fillId="33" borderId="0" xfId="57" applyFont="1" applyFill="1" applyAlignment="1">
      <alignment horizontal="center"/>
      <protection/>
    </xf>
    <xf numFmtId="171" fontId="15" fillId="0" borderId="0" xfId="84" applyFont="1" applyFill="1" applyBorder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11" fillId="34" borderId="0" xfId="0" applyFont="1" applyFill="1" applyAlignment="1">
      <alignment/>
    </xf>
    <xf numFmtId="171" fontId="11" fillId="34" borderId="0" xfId="0" applyNumberFormat="1" applyFont="1" applyFill="1" applyAlignment="1">
      <alignment/>
    </xf>
    <xf numFmtId="43" fontId="11" fillId="0" borderId="0" xfId="0" applyNumberFormat="1" applyFont="1" applyFill="1" applyAlignment="1">
      <alignment/>
    </xf>
    <xf numFmtId="171" fontId="11" fillId="0" borderId="0" xfId="0" applyNumberFormat="1" applyFont="1" applyFill="1" applyBorder="1" applyAlignment="1">
      <alignment/>
    </xf>
    <xf numFmtId="43" fontId="11" fillId="0" borderId="0" xfId="54" applyNumberFormat="1" applyFont="1" applyAlignment="1">
      <alignment horizontal="center" vertical="center"/>
      <protection/>
    </xf>
    <xf numFmtId="43" fontId="11" fillId="0" borderId="0" xfId="0" applyNumberFormat="1" applyFont="1" applyAlignment="1">
      <alignment horizontal="center" vertical="center"/>
    </xf>
    <xf numFmtId="171" fontId="3" fillId="0" borderId="0" xfId="84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/>
    </xf>
    <xf numFmtId="170" fontId="16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7"/>
    </xf>
    <xf numFmtId="171" fontId="11" fillId="0" borderId="0" xfId="63" applyFont="1" applyFill="1" applyBorder="1" applyAlignment="1" applyProtection="1">
      <alignment/>
      <protection/>
    </xf>
    <xf numFmtId="171" fontId="0" fillId="0" borderId="0" xfId="84" applyFont="1" applyFill="1" applyAlignment="1">
      <alignment/>
    </xf>
    <xf numFmtId="40" fontId="9" fillId="0" borderId="0" xfId="63" applyNumberFormat="1" applyFont="1" applyFill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vertical="center"/>
    </xf>
    <xf numFmtId="171" fontId="0" fillId="0" borderId="0" xfId="84" applyFont="1" applyFill="1" applyAlignment="1">
      <alignment horizontal="left" vertical="center"/>
    </xf>
    <xf numFmtId="171" fontId="0" fillId="0" borderId="0" xfId="84" applyFont="1" applyFill="1" applyAlignment="1">
      <alignment vertical="center"/>
    </xf>
    <xf numFmtId="171" fontId="9" fillId="0" borderId="0" xfId="84" applyFont="1" applyFill="1" applyAlignment="1">
      <alignment/>
    </xf>
    <xf numFmtId="171" fontId="0" fillId="0" borderId="0" xfId="84" applyFont="1" applyBorder="1" applyAlignment="1">
      <alignment horizontal="center" vertical="center"/>
    </xf>
    <xf numFmtId="171" fontId="11" fillId="0" borderId="0" xfId="54" applyNumberFormat="1" applyFont="1" applyBorder="1" applyAlignment="1">
      <alignment horizontal="center" vertical="center"/>
      <protection/>
    </xf>
    <xf numFmtId="171" fontId="0" fillId="0" borderId="0" xfId="84" applyFont="1" applyBorder="1" applyAlignment="1">
      <alignment/>
    </xf>
    <xf numFmtId="171" fontId="4" fillId="0" borderId="18" xfId="84" applyFont="1" applyFill="1" applyBorder="1" applyAlignment="1" applyProtection="1">
      <alignment horizontal="center" vertical="center"/>
      <protection/>
    </xf>
    <xf numFmtId="171" fontId="4" fillId="0" borderId="19" xfId="84" applyFont="1" applyFill="1" applyBorder="1" applyAlignment="1" applyProtection="1">
      <alignment horizontal="center" vertical="center"/>
      <protection/>
    </xf>
    <xf numFmtId="171" fontId="3" fillId="0" borderId="10" xfId="84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9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6" fontId="0" fillId="0" borderId="0" xfId="0" applyNumberFormat="1" applyFont="1" applyFill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0" fontId="0" fillId="0" borderId="0" xfId="0" applyNumberFormat="1" applyFont="1" applyAlignment="1">
      <alignment/>
    </xf>
    <xf numFmtId="171" fontId="20" fillId="0" borderId="12" xfId="84" applyFont="1" applyFill="1" applyBorder="1" applyAlignment="1" applyProtection="1">
      <alignment horizontal="center"/>
      <protection/>
    </xf>
    <xf numFmtId="171" fontId="20" fillId="0" borderId="13" xfId="84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>
      <alignment/>
    </xf>
    <xf numFmtId="171" fontId="20" fillId="0" borderId="0" xfId="84" applyFont="1" applyFill="1" applyBorder="1" applyAlignment="1" applyProtection="1">
      <alignment vertical="center"/>
      <protection/>
    </xf>
    <xf numFmtId="171" fontId="16" fillId="0" borderId="0" xfId="84" applyFont="1" applyFill="1" applyBorder="1" applyAlignment="1" applyProtection="1">
      <alignment vertical="center"/>
      <protection/>
    </xf>
    <xf numFmtId="171" fontId="92" fillId="0" borderId="0" xfId="84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171" fontId="20" fillId="0" borderId="10" xfId="84" applyFont="1" applyFill="1" applyBorder="1" applyAlignment="1" applyProtection="1">
      <alignment horizontal="center"/>
      <protection/>
    </xf>
    <xf numFmtId="171" fontId="20" fillId="0" borderId="11" xfId="84" applyFont="1" applyFill="1" applyBorder="1" applyAlignment="1" applyProtection="1">
      <alignment horizontal="center" vertical="center"/>
      <protection/>
    </xf>
    <xf numFmtId="171" fontId="20" fillId="0" borderId="0" xfId="84" applyFont="1" applyFill="1" applyBorder="1" applyAlignment="1" applyProtection="1">
      <alignment horizontal="center" vertical="center"/>
      <protection/>
    </xf>
    <xf numFmtId="171" fontId="20" fillId="0" borderId="10" xfId="84" applyFont="1" applyFill="1" applyBorder="1" applyAlignment="1" applyProtection="1">
      <alignment horizontal="center" vertical="top" wrapText="1"/>
      <protection/>
    </xf>
    <xf numFmtId="171" fontId="20" fillId="0" borderId="11" xfId="84" applyFont="1" applyFill="1" applyBorder="1" applyAlignment="1" applyProtection="1">
      <alignment horizontal="center" vertical="center" wrapText="1"/>
      <protection/>
    </xf>
    <xf numFmtId="171" fontId="20" fillId="0" borderId="20" xfId="84" applyFont="1" applyFill="1" applyBorder="1" applyAlignment="1" applyProtection="1">
      <alignment horizontal="center" vertical="center" wrapText="1"/>
      <protection/>
    </xf>
    <xf numFmtId="171" fontId="20" fillId="0" borderId="21" xfId="84" applyFont="1" applyFill="1" applyBorder="1" applyAlignment="1" applyProtection="1">
      <alignment horizontal="center" vertical="center"/>
      <protection/>
    </xf>
    <xf numFmtId="171" fontId="20" fillId="0" borderId="14" xfId="84" applyFont="1" applyFill="1" applyBorder="1" applyAlignment="1" applyProtection="1">
      <alignment horizontal="center"/>
      <protection/>
    </xf>
    <xf numFmtId="171" fontId="20" fillId="0" borderId="14" xfId="84" applyFont="1" applyFill="1" applyBorder="1" applyAlignment="1" applyProtection="1">
      <alignment horizontal="center" vertical="center"/>
      <protection/>
    </xf>
    <xf numFmtId="171" fontId="20" fillId="0" borderId="15" xfId="84" applyFont="1" applyFill="1" applyBorder="1" applyAlignment="1" applyProtection="1">
      <alignment horizontal="center"/>
      <protection/>
    </xf>
    <xf numFmtId="171" fontId="20" fillId="0" borderId="22" xfId="84" applyFont="1" applyFill="1" applyBorder="1" applyAlignment="1" applyProtection="1">
      <alignment horizontal="center" vertical="center" wrapText="1"/>
      <protection/>
    </xf>
    <xf numFmtId="171" fontId="20" fillId="0" borderId="23" xfId="84" applyFont="1" applyFill="1" applyBorder="1" applyAlignment="1" applyProtection="1">
      <alignment horizontal="center" vertical="center" wrapText="1"/>
      <protection/>
    </xf>
    <xf numFmtId="171" fontId="16" fillId="0" borderId="10" xfId="84" applyFont="1" applyFill="1" applyBorder="1" applyAlignment="1" applyProtection="1">
      <alignment horizontal="center"/>
      <protection/>
    </xf>
    <xf numFmtId="171" fontId="20" fillId="0" borderId="0" xfId="0" applyNumberFormat="1" applyFont="1" applyFill="1" applyBorder="1" applyAlignment="1">
      <alignment/>
    </xf>
    <xf numFmtId="171" fontId="16" fillId="0" borderId="10" xfId="84" applyFont="1" applyFill="1" applyBorder="1" applyAlignment="1" applyProtection="1">
      <alignment vertical="center"/>
      <protection/>
    </xf>
    <xf numFmtId="171" fontId="16" fillId="0" borderId="11" xfId="84" applyFont="1" applyFill="1" applyBorder="1" applyAlignment="1" applyProtection="1">
      <alignment vertical="center"/>
      <protection/>
    </xf>
    <xf numFmtId="2" fontId="20" fillId="0" borderId="0" xfId="84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Alignment="1">
      <alignment/>
    </xf>
    <xf numFmtId="171" fontId="20" fillId="0" borderId="10" xfId="84" applyFont="1" applyFill="1" applyBorder="1" applyAlignment="1" applyProtection="1">
      <alignment vertical="center"/>
      <protection/>
    </xf>
    <xf numFmtId="171" fontId="20" fillId="34" borderId="24" xfId="84" applyFont="1" applyFill="1" applyBorder="1" applyAlignment="1">
      <alignment vertical="center"/>
    </xf>
    <xf numFmtId="171" fontId="20" fillId="0" borderId="10" xfId="63" applyFont="1" applyFill="1" applyBorder="1" applyAlignment="1" applyProtection="1">
      <alignment vertical="center"/>
      <protection/>
    </xf>
    <xf numFmtId="171" fontId="20" fillId="34" borderId="10" xfId="84" applyFont="1" applyFill="1" applyBorder="1" applyAlignment="1" applyProtection="1">
      <alignment vertical="center"/>
      <protection/>
    </xf>
    <xf numFmtId="171" fontId="20" fillId="0" borderId="11" xfId="84" applyFont="1" applyFill="1" applyBorder="1" applyAlignment="1" applyProtection="1">
      <alignment vertical="center"/>
      <protection/>
    </xf>
    <xf numFmtId="171" fontId="93" fillId="0" borderId="0" xfId="84" applyFont="1" applyFill="1" applyBorder="1" applyAlignment="1" applyProtection="1">
      <alignment horizontal="center" vertical="center"/>
      <protection/>
    </xf>
    <xf numFmtId="171" fontId="16" fillId="34" borderId="10" xfId="84" applyFont="1" applyFill="1" applyBorder="1" applyAlignment="1" applyProtection="1">
      <alignment vertical="center"/>
      <protection/>
    </xf>
    <xf numFmtId="0" fontId="16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71" fontId="21" fillId="0" borderId="0" xfId="0" applyNumberFormat="1" applyFont="1" applyFill="1" applyBorder="1" applyAlignment="1">
      <alignment/>
    </xf>
    <xf numFmtId="171" fontId="16" fillId="0" borderId="10" xfId="63" applyFont="1" applyFill="1" applyBorder="1" applyAlignment="1" applyProtection="1">
      <alignment vertical="center"/>
      <protection/>
    </xf>
    <xf numFmtId="171" fontId="16" fillId="0" borderId="14" xfId="84" applyFont="1" applyFill="1" applyBorder="1" applyAlignment="1" applyProtection="1">
      <alignment horizontal="center" vertical="center"/>
      <protection/>
    </xf>
    <xf numFmtId="171" fontId="16" fillId="0" borderId="25" xfId="84" applyFont="1" applyFill="1" applyBorder="1" applyAlignment="1" applyProtection="1">
      <alignment/>
      <protection/>
    </xf>
    <xf numFmtId="0" fontId="16" fillId="0" borderId="0" xfId="0" applyNumberFormat="1" applyFont="1" applyAlignment="1">
      <alignment/>
    </xf>
    <xf numFmtId="171" fontId="16" fillId="0" borderId="13" xfId="84" applyFont="1" applyFill="1" applyBorder="1" applyAlignment="1" applyProtection="1">
      <alignment vertical="center"/>
      <protection/>
    </xf>
    <xf numFmtId="171" fontId="16" fillId="34" borderId="13" xfId="84" applyFont="1" applyFill="1" applyBorder="1" applyAlignment="1" applyProtection="1">
      <alignment vertical="center"/>
      <protection/>
    </xf>
    <xf numFmtId="0" fontId="16" fillId="0" borderId="0" xfId="0" applyNumberFormat="1" applyFont="1" applyBorder="1" applyAlignment="1">
      <alignment/>
    </xf>
    <xf numFmtId="43" fontId="16" fillId="0" borderId="0" xfId="0" applyNumberFormat="1" applyFont="1" applyBorder="1" applyAlignment="1">
      <alignment/>
    </xf>
    <xf numFmtId="171" fontId="16" fillId="34" borderId="11" xfId="84" applyFont="1" applyFill="1" applyBorder="1" applyAlignment="1" applyProtection="1">
      <alignment vertical="center"/>
      <protection/>
    </xf>
    <xf numFmtId="171" fontId="20" fillId="34" borderId="11" xfId="84" applyFont="1" applyFill="1" applyBorder="1" applyAlignment="1" applyProtection="1">
      <alignment vertical="center"/>
      <protection/>
    </xf>
    <xf numFmtId="171" fontId="20" fillId="0" borderId="11" xfId="84" applyFont="1" applyFill="1" applyBorder="1" applyAlignment="1" applyProtection="1">
      <alignment horizontal="center"/>
      <protection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171" fontId="20" fillId="0" borderId="0" xfId="84" applyFont="1" applyAlignment="1">
      <alignment/>
    </xf>
    <xf numFmtId="183" fontId="16" fillId="0" borderId="0" xfId="0" applyNumberFormat="1" applyFont="1" applyBorder="1" applyAlignment="1">
      <alignment/>
    </xf>
    <xf numFmtId="171" fontId="20" fillId="0" borderId="15" xfId="84" applyFont="1" applyFill="1" applyBorder="1" applyAlignment="1" applyProtection="1">
      <alignment vertical="center"/>
      <protection/>
    </xf>
    <xf numFmtId="171" fontId="20" fillId="34" borderId="26" xfId="84" applyFont="1" applyFill="1" applyBorder="1" applyAlignment="1">
      <alignment vertical="center"/>
    </xf>
    <xf numFmtId="171" fontId="16" fillId="0" borderId="15" xfId="84" applyFont="1" applyFill="1" applyBorder="1" applyAlignment="1" applyProtection="1">
      <alignment vertical="center"/>
      <protection/>
    </xf>
    <xf numFmtId="171" fontId="16" fillId="0" borderId="14" xfId="84" applyFont="1" applyFill="1" applyBorder="1" applyAlignment="1" applyProtection="1">
      <alignment vertical="center"/>
      <protection/>
    </xf>
    <xf numFmtId="171" fontId="16" fillId="0" borderId="27" xfId="84" applyFont="1" applyFill="1" applyBorder="1" applyAlignment="1" applyProtection="1">
      <alignment vertical="center"/>
      <protection/>
    </xf>
    <xf numFmtId="171" fontId="16" fillId="0" borderId="28" xfId="84" applyFont="1" applyFill="1" applyBorder="1" applyAlignment="1" applyProtection="1">
      <alignment vertical="center"/>
      <protection/>
    </xf>
    <xf numFmtId="171" fontId="16" fillId="0" borderId="25" xfId="84" applyFont="1" applyFill="1" applyBorder="1" applyAlignment="1" applyProtection="1">
      <alignment horizontal="right" vertical="center"/>
      <protection/>
    </xf>
    <xf numFmtId="171" fontId="16" fillId="0" borderId="15" xfId="84" applyFont="1" applyFill="1" applyBorder="1" applyAlignment="1" applyProtection="1">
      <alignment horizontal="right" vertical="center"/>
      <protection/>
    </xf>
    <xf numFmtId="171" fontId="16" fillId="0" borderId="18" xfId="84" applyFont="1" applyFill="1" applyBorder="1" applyAlignment="1" applyProtection="1">
      <alignment vertical="center"/>
      <protection/>
    </xf>
    <xf numFmtId="171" fontId="16" fillId="0" borderId="19" xfId="84" applyFont="1" applyFill="1" applyBorder="1" applyAlignment="1" applyProtection="1">
      <alignment vertical="center"/>
      <protection/>
    </xf>
    <xf numFmtId="171" fontId="16" fillId="0" borderId="0" xfId="84" applyFont="1" applyFill="1" applyBorder="1" applyAlignment="1" applyProtection="1">
      <alignment/>
      <protection/>
    </xf>
    <xf numFmtId="171" fontId="16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20" fillId="0" borderId="0" xfId="0" applyNumberFormat="1" applyFont="1" applyFill="1" applyBorder="1" applyAlignment="1">
      <alignment vertical="center"/>
    </xf>
    <xf numFmtId="171" fontId="16" fillId="0" borderId="0" xfId="84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/>
    </xf>
    <xf numFmtId="171" fontId="20" fillId="0" borderId="25" xfId="84" applyFont="1" applyFill="1" applyBorder="1" applyAlignment="1" applyProtection="1">
      <alignment horizontal="center" vertical="center" wrapText="1"/>
      <protection/>
    </xf>
    <xf numFmtId="171" fontId="20" fillId="0" borderId="19" xfId="84" applyFont="1" applyFill="1" applyBorder="1" applyAlignment="1" applyProtection="1">
      <alignment horizontal="center" vertical="center" wrapText="1"/>
      <protection/>
    </xf>
    <xf numFmtId="171" fontId="16" fillId="0" borderId="19" xfId="84" applyFont="1" applyFill="1" applyBorder="1" applyAlignment="1" applyProtection="1">
      <alignment horizontal="center" vertical="center" wrapText="1"/>
      <protection/>
    </xf>
    <xf numFmtId="171" fontId="16" fillId="0" borderId="25" xfId="84" applyFont="1" applyFill="1" applyBorder="1" applyAlignment="1" applyProtection="1">
      <alignment horizontal="center" vertical="center" wrapText="1"/>
      <protection/>
    </xf>
    <xf numFmtId="171" fontId="16" fillId="0" borderId="19" xfId="84" applyFont="1" applyFill="1" applyBorder="1" applyAlignment="1" applyProtection="1">
      <alignment horizontal="left" vertical="center"/>
      <protection/>
    </xf>
    <xf numFmtId="171" fontId="16" fillId="0" borderId="25" xfId="84" applyFont="1" applyFill="1" applyBorder="1" applyAlignment="1" applyProtection="1">
      <alignment horizontal="left" vertical="center"/>
      <protection/>
    </xf>
    <xf numFmtId="43" fontId="20" fillId="0" borderId="0" xfId="0" applyNumberFormat="1" applyFont="1" applyAlignment="1">
      <alignment horizontal="center"/>
    </xf>
    <xf numFmtId="43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171" fontId="16" fillId="0" borderId="10" xfId="84" applyFont="1" applyFill="1" applyBorder="1" applyAlignment="1" applyProtection="1">
      <alignment horizontal="left" vertical="center"/>
      <protection/>
    </xf>
    <xf numFmtId="171" fontId="16" fillId="0" borderId="0" xfId="84" applyFont="1" applyFill="1" applyBorder="1" applyAlignment="1" applyProtection="1">
      <alignment horizontal="left" vertical="center"/>
      <protection/>
    </xf>
    <xf numFmtId="171" fontId="16" fillId="0" borderId="0" xfId="0" applyNumberFormat="1" applyFont="1" applyFill="1" applyAlignment="1">
      <alignment horizontal="center"/>
    </xf>
    <xf numFmtId="43" fontId="16" fillId="0" borderId="10" xfId="84" applyNumberFormat="1" applyFont="1" applyFill="1" applyBorder="1" applyAlignment="1" applyProtection="1">
      <alignment horizontal="left" vertical="center"/>
      <protection/>
    </xf>
    <xf numFmtId="171" fontId="16" fillId="0" borderId="0" xfId="84" applyFont="1" applyFill="1" applyBorder="1" applyAlignment="1" applyProtection="1">
      <alignment horizontal="center" vertical="center" wrapText="1"/>
      <protection/>
    </xf>
    <xf numFmtId="171" fontId="20" fillId="0" borderId="10" xfId="84" applyFont="1" applyFill="1" applyBorder="1" applyAlignment="1" applyProtection="1">
      <alignment horizontal="left" vertical="center"/>
      <protection/>
    </xf>
    <xf numFmtId="171" fontId="20" fillId="0" borderId="0" xfId="84" applyFont="1" applyFill="1" applyBorder="1" applyAlignment="1" applyProtection="1">
      <alignment horizontal="left" vertical="center"/>
      <protection/>
    </xf>
    <xf numFmtId="171" fontId="20" fillId="0" borderId="0" xfId="0" applyNumberFormat="1" applyFont="1" applyFill="1" applyAlignment="1">
      <alignment horizontal="center"/>
    </xf>
    <xf numFmtId="171" fontId="20" fillId="0" borderId="11" xfId="84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Alignment="1">
      <alignment horizontal="center"/>
    </xf>
    <xf numFmtId="171" fontId="20" fillId="0" borderId="10" xfId="84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171" fontId="16" fillId="0" borderId="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center"/>
    </xf>
    <xf numFmtId="171" fontId="20" fillId="0" borderId="0" xfId="84" applyFont="1" applyFill="1" applyBorder="1" applyAlignment="1">
      <alignment/>
    </xf>
    <xf numFmtId="171" fontId="16" fillId="0" borderId="0" xfId="84" applyFont="1" applyFill="1" applyAlignment="1">
      <alignment horizontal="center"/>
    </xf>
    <xf numFmtId="170" fontId="22" fillId="0" borderId="0" xfId="0" applyNumberFormat="1" applyFont="1" applyFill="1" applyBorder="1" applyAlignment="1">
      <alignment/>
    </xf>
    <xf numFmtId="170" fontId="20" fillId="0" borderId="0" xfId="0" applyNumberFormat="1" applyFont="1" applyFill="1" applyAlignment="1">
      <alignment horizontal="center"/>
    </xf>
    <xf numFmtId="171" fontId="20" fillId="0" borderId="29" xfId="84" applyFont="1" applyFill="1" applyBorder="1" applyAlignment="1" applyProtection="1">
      <alignment horizontal="left" vertical="center"/>
      <protection/>
    </xf>
    <xf numFmtId="171" fontId="20" fillId="0" borderId="30" xfId="84" applyFont="1" applyFill="1" applyBorder="1" applyAlignment="1" applyProtection="1">
      <alignment horizontal="left" vertical="center"/>
      <protection/>
    </xf>
    <xf numFmtId="171" fontId="20" fillId="0" borderId="29" xfId="84" applyFont="1" applyFill="1" applyBorder="1" applyAlignment="1" applyProtection="1">
      <alignment horizontal="center" vertical="center"/>
      <protection/>
    </xf>
    <xf numFmtId="171" fontId="20" fillId="0" borderId="0" xfId="84" applyFont="1" applyFill="1" applyAlignment="1">
      <alignment horizontal="center"/>
    </xf>
    <xf numFmtId="170" fontId="21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 vertical="center" indent="2"/>
    </xf>
    <xf numFmtId="43" fontId="20" fillId="34" borderId="0" xfId="84" applyNumberFormat="1" applyFont="1" applyFill="1" applyBorder="1" applyAlignment="1" applyProtection="1">
      <alignment horizontal="center" vertical="center"/>
      <protection/>
    </xf>
    <xf numFmtId="170" fontId="20" fillId="34" borderId="0" xfId="84" applyNumberFormat="1" applyFont="1" applyFill="1" applyBorder="1" applyAlignment="1" applyProtection="1">
      <alignment horizontal="center" vertical="center"/>
      <protection/>
    </xf>
    <xf numFmtId="171" fontId="20" fillId="0" borderId="0" xfId="84" applyFont="1" applyFill="1" applyBorder="1" applyAlignment="1" applyProtection="1">
      <alignment horizontal="left" vertical="center" wrapText="1"/>
      <protection/>
    </xf>
    <xf numFmtId="171" fontId="20" fillId="0" borderId="0" xfId="84" applyFont="1" applyFill="1" applyBorder="1" applyAlignment="1">
      <alignment horizontal="center"/>
    </xf>
    <xf numFmtId="0" fontId="20" fillId="0" borderId="0" xfId="0" applyNumberFormat="1" applyFont="1" applyAlignment="1">
      <alignment horizontal="center"/>
    </xf>
    <xf numFmtId="171" fontId="16" fillId="0" borderId="31" xfId="84" applyFont="1" applyFill="1" applyBorder="1" applyAlignment="1" applyProtection="1">
      <alignment horizontal="left" vertical="center"/>
      <protection/>
    </xf>
    <xf numFmtId="171" fontId="16" fillId="0" borderId="31" xfId="84" applyFont="1" applyFill="1" applyBorder="1" applyAlignment="1" applyProtection="1">
      <alignment horizontal="right" vertical="center"/>
      <protection/>
    </xf>
    <xf numFmtId="171" fontId="16" fillId="0" borderId="32" xfId="84" applyFont="1" applyFill="1" applyBorder="1" applyAlignment="1" applyProtection="1">
      <alignment horizontal="left" vertical="center"/>
      <protection/>
    </xf>
    <xf numFmtId="171" fontId="16" fillId="0" borderId="33" xfId="84" applyFont="1" applyFill="1" applyBorder="1" applyAlignment="1" applyProtection="1">
      <alignment horizontal="left" vertical="center"/>
      <protection/>
    </xf>
    <xf numFmtId="170" fontId="16" fillId="0" borderId="0" xfId="0" applyNumberFormat="1" applyFont="1" applyFill="1" applyAlignment="1">
      <alignment horizontal="center"/>
    </xf>
    <xf numFmtId="43" fontId="16" fillId="0" borderId="10" xfId="84" applyNumberFormat="1" applyFont="1" applyFill="1" applyBorder="1" applyAlignment="1" applyProtection="1">
      <alignment horizontal="right" vertical="center"/>
      <protection/>
    </xf>
    <xf numFmtId="171" fontId="16" fillId="0" borderId="10" xfId="84" applyFont="1" applyFill="1" applyBorder="1" applyAlignment="1" applyProtection="1">
      <alignment horizontal="right" vertical="center"/>
      <protection/>
    </xf>
    <xf numFmtId="171" fontId="20" fillId="0" borderId="0" xfId="0" applyNumberFormat="1" applyFont="1" applyFill="1" applyAlignment="1">
      <alignment/>
    </xf>
    <xf numFmtId="171" fontId="16" fillId="0" borderId="13" xfId="84" applyFont="1" applyFill="1" applyBorder="1" applyAlignment="1" applyProtection="1">
      <alignment horizontal="right" vertical="center"/>
      <protection/>
    </xf>
    <xf numFmtId="171" fontId="16" fillId="0" borderId="11" xfId="84" applyFont="1" applyFill="1" applyBorder="1" applyAlignment="1" applyProtection="1">
      <alignment horizontal="center" vertical="center"/>
      <protection/>
    </xf>
    <xf numFmtId="171" fontId="16" fillId="0" borderId="34" xfId="84" applyFont="1" applyFill="1" applyBorder="1" applyAlignment="1" applyProtection="1">
      <alignment horizontal="left" vertical="center"/>
      <protection/>
    </xf>
    <xf numFmtId="43" fontId="16" fillId="0" borderId="0" xfId="0" applyNumberFormat="1" applyFont="1" applyFill="1" applyAlignment="1">
      <alignment horizontal="center"/>
    </xf>
    <xf numFmtId="171" fontId="16" fillId="0" borderId="11" xfId="84" applyFont="1" applyFill="1" applyBorder="1" applyAlignment="1" applyProtection="1">
      <alignment horizontal="right" vertical="center"/>
      <protection/>
    </xf>
    <xf numFmtId="171" fontId="20" fillId="0" borderId="11" xfId="84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>
      <alignment horizontal="center"/>
    </xf>
    <xf numFmtId="171" fontId="20" fillId="0" borderId="15" xfId="84" applyFont="1" applyFill="1" applyBorder="1" applyAlignment="1" applyProtection="1">
      <alignment horizontal="right" vertical="center"/>
      <protection/>
    </xf>
    <xf numFmtId="171" fontId="20" fillId="0" borderId="15" xfId="84" applyFont="1" applyFill="1" applyBorder="1" applyAlignment="1" applyProtection="1">
      <alignment horizontal="left" vertical="center"/>
      <protection/>
    </xf>
    <xf numFmtId="171" fontId="16" fillId="0" borderId="18" xfId="84" applyFont="1" applyFill="1" applyBorder="1" applyAlignment="1" applyProtection="1">
      <alignment horizontal="left" vertical="center"/>
      <protection/>
    </xf>
    <xf numFmtId="171" fontId="16" fillId="0" borderId="12" xfId="84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 applyAlignment="1">
      <alignment horizontal="right"/>
    </xf>
    <xf numFmtId="43" fontId="16" fillId="0" borderId="0" xfId="0" applyNumberFormat="1" applyFont="1" applyFill="1" applyBorder="1" applyAlignment="1">
      <alignment/>
    </xf>
    <xf numFmtId="171" fontId="16" fillId="0" borderId="0" xfId="84" applyFont="1" applyFill="1" applyBorder="1" applyAlignment="1" applyProtection="1">
      <alignment horizontal="center" vertical="center"/>
      <protection/>
    </xf>
    <xf numFmtId="171" fontId="20" fillId="0" borderId="0" xfId="84" applyFont="1" applyFill="1" applyBorder="1" applyAlignment="1" applyProtection="1">
      <alignment horizontal="center"/>
      <protection/>
    </xf>
    <xf numFmtId="49" fontId="20" fillId="0" borderId="0" xfId="0" applyNumberFormat="1" applyFont="1" applyFill="1" applyAlignment="1">
      <alignment horizontal="left" indent="7"/>
    </xf>
    <xf numFmtId="4" fontId="16" fillId="0" borderId="0" xfId="0" applyNumberFormat="1" applyFont="1" applyFill="1" applyBorder="1" applyAlignment="1">
      <alignment horizontal="left" indent="7"/>
    </xf>
    <xf numFmtId="0" fontId="20" fillId="0" borderId="0" xfId="0" applyFont="1" applyFill="1" applyAlignment="1">
      <alignment horizontal="left" indent="7"/>
    </xf>
    <xf numFmtId="0" fontId="10" fillId="0" borderId="0" xfId="0" applyFont="1" applyFill="1" applyBorder="1" applyAlignment="1">
      <alignment horizontal="left" indent="7"/>
    </xf>
    <xf numFmtId="171" fontId="20" fillId="0" borderId="0" xfId="84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>
      <alignment horizontal="left" indent="7"/>
    </xf>
    <xf numFmtId="0" fontId="16" fillId="0" borderId="0" xfId="0" applyFont="1" applyFill="1" applyBorder="1" applyAlignment="1">
      <alignment horizontal="left" indent="7"/>
    </xf>
    <xf numFmtId="0" fontId="4" fillId="0" borderId="0" xfId="0" applyFont="1" applyFill="1" applyBorder="1" applyAlignment="1">
      <alignment horizontal="left" indent="7"/>
    </xf>
    <xf numFmtId="0" fontId="20" fillId="0" borderId="0" xfId="0" applyFont="1" applyFill="1" applyBorder="1" applyAlignment="1">
      <alignment horizontal="left" indent="7"/>
    </xf>
    <xf numFmtId="4" fontId="20" fillId="0" borderId="0" xfId="0" applyNumberFormat="1" applyFont="1" applyFill="1" applyBorder="1" applyAlignment="1">
      <alignment horizontal="left" indent="7"/>
    </xf>
    <xf numFmtId="49" fontId="20" fillId="0" borderId="0" xfId="0" applyNumberFormat="1" applyFont="1" applyFill="1" applyBorder="1" applyAlignment="1">
      <alignment/>
    </xf>
    <xf numFmtId="17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43" fontId="20" fillId="0" borderId="0" xfId="0" applyNumberFormat="1" applyFont="1" applyFill="1" applyBorder="1" applyAlignment="1">
      <alignment horizontal="left" vertical="center"/>
    </xf>
    <xf numFmtId="173" fontId="20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vertical="center"/>
    </xf>
    <xf numFmtId="4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171" fontId="3" fillId="0" borderId="0" xfId="84" applyFont="1" applyFill="1" applyBorder="1" applyAlignment="1">
      <alignment/>
    </xf>
    <xf numFmtId="171" fontId="3" fillId="0" borderId="0" xfId="84" applyFont="1" applyFill="1" applyBorder="1" applyAlignment="1">
      <alignment horizontal="left" vertical="center"/>
    </xf>
    <xf numFmtId="171" fontId="3" fillId="0" borderId="0" xfId="84" applyFont="1" applyFill="1" applyBorder="1" applyAlignment="1">
      <alignment vertical="center"/>
    </xf>
    <xf numFmtId="171" fontId="20" fillId="0" borderId="0" xfId="84" applyFont="1" applyFill="1" applyAlignment="1">
      <alignment/>
    </xf>
    <xf numFmtId="171" fontId="16" fillId="0" borderId="12" xfId="84" applyFont="1" applyFill="1" applyBorder="1" applyAlignment="1">
      <alignment vertical="center"/>
    </xf>
    <xf numFmtId="171" fontId="16" fillId="34" borderId="31" xfId="84" applyFont="1" applyFill="1" applyBorder="1" applyAlignment="1">
      <alignment vertical="center"/>
    </xf>
    <xf numFmtId="171" fontId="20" fillId="0" borderId="35" xfId="84" applyFont="1" applyFill="1" applyBorder="1" applyAlignment="1">
      <alignment vertical="center"/>
    </xf>
    <xf numFmtId="171" fontId="16" fillId="0" borderId="0" xfId="84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indent="6"/>
    </xf>
    <xf numFmtId="183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20" fillId="0" borderId="0" xfId="0" applyFont="1" applyFill="1" applyAlignment="1">
      <alignment vertical="top"/>
    </xf>
    <xf numFmtId="40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Border="1" applyAlignment="1">
      <alignment/>
    </xf>
    <xf numFmtId="0" fontId="20" fillId="34" borderId="0" xfId="0" applyFont="1" applyFill="1" applyAlignment="1">
      <alignment/>
    </xf>
    <xf numFmtId="170" fontId="20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171" fontId="7" fillId="0" borderId="0" xfId="63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1" fontId="2" fillId="34" borderId="0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2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171" fontId="2" fillId="0" borderId="0" xfId="63" applyFont="1" applyFill="1" applyBorder="1" applyAlignment="1" applyProtection="1">
      <alignment/>
      <protection/>
    </xf>
    <xf numFmtId="171" fontId="8" fillId="0" borderId="13" xfId="63" applyFont="1" applyFill="1" applyBorder="1" applyAlignment="1" applyProtection="1">
      <alignment horizontal="right" vertical="center"/>
      <protection/>
    </xf>
    <xf numFmtId="171" fontId="8" fillId="34" borderId="13" xfId="63" applyFont="1" applyFill="1" applyBorder="1" applyAlignment="1" applyProtection="1">
      <alignment horizontal="center" vertical="center"/>
      <protection/>
    </xf>
    <xf numFmtId="171" fontId="8" fillId="34" borderId="36" xfId="63" applyFont="1" applyFill="1" applyBorder="1" applyAlignment="1" applyProtection="1">
      <alignment horizontal="center" vertical="center"/>
      <protection/>
    </xf>
    <xf numFmtId="171" fontId="8" fillId="0" borderId="0" xfId="63" applyFont="1" applyFill="1" applyBorder="1" applyAlignment="1" applyProtection="1">
      <alignment horizontal="center" vertical="center"/>
      <protection/>
    </xf>
    <xf numFmtId="171" fontId="0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8" fillId="35" borderId="0" xfId="0" applyFont="1" applyFill="1" applyAlignment="1">
      <alignment vertical="center"/>
    </xf>
    <xf numFmtId="171" fontId="8" fillId="0" borderId="11" xfId="63" applyFont="1" applyFill="1" applyBorder="1" applyAlignment="1" applyProtection="1">
      <alignment horizontal="right" vertical="center"/>
      <protection/>
    </xf>
    <xf numFmtId="171" fontId="8" fillId="34" borderId="11" xfId="63" applyFont="1" applyFill="1" applyBorder="1" applyAlignment="1" applyProtection="1">
      <alignment horizontal="center" vertical="center"/>
      <protection/>
    </xf>
    <xf numFmtId="171" fontId="8" fillId="34" borderId="37" xfId="63" applyFont="1" applyFill="1" applyBorder="1" applyAlignment="1" applyProtection="1">
      <alignment horizontal="center" vertical="center"/>
      <protection/>
    </xf>
    <xf numFmtId="171" fontId="8" fillId="34" borderId="0" xfId="63" applyFont="1" applyFill="1" applyBorder="1" applyAlignment="1" applyProtection="1">
      <alignment horizontal="center" vertical="center"/>
      <protection/>
    </xf>
    <xf numFmtId="171" fontId="8" fillId="0" borderId="0" xfId="0" applyNumberFormat="1" applyFont="1" applyFill="1" applyBorder="1" applyAlignment="1">
      <alignment vertical="center"/>
    </xf>
    <xf numFmtId="171" fontId="8" fillId="0" borderId="0" xfId="0" applyNumberFormat="1" applyFont="1" applyFill="1" applyAlignment="1">
      <alignment vertical="center"/>
    </xf>
    <xf numFmtId="170" fontId="8" fillId="0" borderId="0" xfId="0" applyNumberFormat="1" applyFont="1" applyFill="1" applyAlignment="1">
      <alignment vertical="center"/>
    </xf>
    <xf numFmtId="171" fontId="0" fillId="0" borderId="11" xfId="63" applyFont="1" applyFill="1" applyBorder="1" applyAlignment="1" applyProtection="1">
      <alignment horizontal="right" vertical="center"/>
      <protection/>
    </xf>
    <xf numFmtId="171" fontId="0" fillId="0" borderId="11" xfId="63" applyFont="1" applyFill="1" applyBorder="1" applyAlignment="1" applyProtection="1">
      <alignment horizontal="center" vertical="center"/>
      <protection/>
    </xf>
    <xf numFmtId="171" fontId="0" fillId="34" borderId="11" xfId="63" applyFont="1" applyFill="1" applyBorder="1" applyAlignment="1" applyProtection="1">
      <alignment horizontal="center" vertical="center"/>
      <protection/>
    </xf>
    <xf numFmtId="17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1" fontId="8" fillId="0" borderId="11" xfId="63" applyFont="1" applyFill="1" applyBorder="1" applyAlignment="1" applyProtection="1">
      <alignment horizontal="center" vertical="center"/>
      <protection/>
    </xf>
    <xf numFmtId="171" fontId="8" fillId="0" borderId="0" xfId="0" applyNumberFormat="1" applyFont="1" applyFill="1" applyBorder="1" applyAlignment="1">
      <alignment horizontal="center" vertical="center"/>
    </xf>
    <xf numFmtId="171" fontId="94" fillId="0" borderId="0" xfId="0" applyNumberFormat="1" applyFont="1" applyFill="1" applyAlignment="1">
      <alignment vertical="center"/>
    </xf>
    <xf numFmtId="171" fontId="8" fillId="0" borderId="37" xfId="63" applyFont="1" applyFill="1" applyBorder="1" applyAlignment="1" applyProtection="1">
      <alignment horizontal="center" vertical="center"/>
      <protection/>
    </xf>
    <xf numFmtId="171" fontId="0" fillId="0" borderId="0" xfId="63" applyFont="1" applyFill="1" applyBorder="1" applyAlignment="1" applyProtection="1">
      <alignment horizontal="center" vertical="center"/>
      <protection/>
    </xf>
    <xf numFmtId="171" fontId="95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71" fontId="0" fillId="0" borderId="37" xfId="63" applyFont="1" applyFill="1" applyBorder="1" applyAlignment="1" applyProtection="1">
      <alignment horizontal="center" vertical="center"/>
      <protection/>
    </xf>
    <xf numFmtId="43" fontId="8" fillId="0" borderId="0" xfId="0" applyNumberFormat="1" applyFont="1" applyFill="1" applyAlignment="1">
      <alignment vertical="center"/>
    </xf>
    <xf numFmtId="171" fontId="8" fillId="0" borderId="10" xfId="63" applyFont="1" applyFill="1" applyBorder="1" applyAlignment="1" applyProtection="1">
      <alignment horizontal="right" vertical="center"/>
      <protection/>
    </xf>
    <xf numFmtId="171" fontId="8" fillId="0" borderId="10" xfId="63" applyFont="1" applyFill="1" applyBorder="1" applyAlignment="1" applyProtection="1">
      <alignment horizontal="center" vertical="center"/>
      <protection/>
    </xf>
    <xf numFmtId="0" fontId="8" fillId="36" borderId="0" xfId="0" applyFont="1" applyFill="1" applyAlignment="1">
      <alignment vertical="center"/>
    </xf>
    <xf numFmtId="171" fontId="0" fillId="0" borderId="10" xfId="63" applyFont="1" applyFill="1" applyBorder="1" applyAlignment="1" applyProtection="1">
      <alignment horizontal="right" vertical="center"/>
      <protection/>
    </xf>
    <xf numFmtId="171" fontId="8" fillId="0" borderId="38" xfId="63" applyFont="1" applyFill="1" applyBorder="1" applyAlignment="1" applyProtection="1">
      <alignment horizontal="right" vertical="center"/>
      <protection/>
    </xf>
    <xf numFmtId="171" fontId="8" fillId="34" borderId="0" xfId="63" applyFont="1" applyFill="1" applyBorder="1" applyAlignment="1" applyProtection="1">
      <alignment horizontal="right" vertical="center"/>
      <protection/>
    </xf>
    <xf numFmtId="171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 indent="7"/>
    </xf>
    <xf numFmtId="0" fontId="3" fillId="0" borderId="0" xfId="0" applyFont="1" applyBorder="1" applyAlignment="1">
      <alignment horizontal="left" indent="7"/>
    </xf>
    <xf numFmtId="0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71" fontId="4" fillId="0" borderId="25" xfId="63" applyFont="1" applyFill="1" applyBorder="1" applyAlignment="1" applyProtection="1">
      <alignment vertical="center" wrapText="1"/>
      <protection/>
    </xf>
    <xf numFmtId="171" fontId="4" fillId="0" borderId="0" xfId="0" applyNumberFormat="1" applyFont="1" applyAlignment="1">
      <alignment/>
    </xf>
    <xf numFmtId="171" fontId="3" fillId="0" borderId="25" xfId="63" applyFont="1" applyFill="1" applyBorder="1" applyAlignment="1" applyProtection="1">
      <alignment vertical="center" wrapText="1"/>
      <protection/>
    </xf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1" fontId="4" fillId="0" borderId="0" xfId="63" applyFont="1" applyFill="1" applyBorder="1" applyAlignment="1" applyProtection="1">
      <alignment horizontal="right" vertical="center"/>
      <protection/>
    </xf>
    <xf numFmtId="171" fontId="4" fillId="0" borderId="0" xfId="63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right" vertical="center"/>
    </xf>
    <xf numFmtId="171" fontId="8" fillId="0" borderId="0" xfId="63" applyFont="1" applyFill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>
      <alignment/>
    </xf>
    <xf numFmtId="2" fontId="3" fillId="0" borderId="0" xfId="0" applyNumberFormat="1" applyFont="1" applyFill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 indent="7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171" fontId="3" fillId="0" borderId="16" xfId="84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1" fontId="3" fillId="0" borderId="0" xfId="84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11" fillId="0" borderId="0" xfId="54" applyNumberFormat="1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  <xf numFmtId="171" fontId="4" fillId="0" borderId="10" xfId="71" applyFont="1" applyFill="1" applyBorder="1" applyAlignment="1" applyProtection="1">
      <alignment horizontal="right" vertical="center" wrapText="1"/>
      <protection/>
    </xf>
    <xf numFmtId="171" fontId="4" fillId="0" borderId="11" xfId="71" applyFont="1" applyFill="1" applyBorder="1" applyAlignment="1" applyProtection="1">
      <alignment horizontal="right" vertical="center" wrapText="1"/>
      <protection/>
    </xf>
    <xf numFmtId="171" fontId="4" fillId="0" borderId="37" xfId="71" applyFont="1" applyFill="1" applyBorder="1" applyAlignment="1" applyProtection="1">
      <alignment horizontal="right" vertical="center" wrapText="1"/>
      <protection/>
    </xf>
    <xf numFmtId="0" fontId="3" fillId="0" borderId="21" xfId="54" applyFont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171" fontId="4" fillId="0" borderId="21" xfId="71" applyFont="1" applyFill="1" applyBorder="1" applyAlignment="1" applyProtection="1">
      <alignment horizontal="right" vertical="center" wrapText="1"/>
      <protection/>
    </xf>
    <xf numFmtId="171" fontId="3" fillId="0" borderId="10" xfId="71" applyFont="1" applyFill="1" applyBorder="1" applyAlignment="1" applyProtection="1">
      <alignment horizontal="right" vertical="center" wrapText="1"/>
      <protection/>
    </xf>
    <xf numFmtId="171" fontId="3" fillId="0" borderId="37" xfId="72" applyFont="1" applyFill="1" applyBorder="1" applyAlignment="1" applyProtection="1">
      <alignment horizontal="right" vertical="center"/>
      <protection/>
    </xf>
    <xf numFmtId="171" fontId="3" fillId="0" borderId="24" xfId="72" applyFont="1" applyFill="1" applyBorder="1" applyAlignment="1" applyProtection="1">
      <alignment horizontal="right" vertical="center" wrapText="1"/>
      <protection/>
    </xf>
    <xf numFmtId="171" fontId="3" fillId="0" borderId="11" xfId="72" applyFont="1" applyFill="1" applyBorder="1" applyAlignment="1" applyProtection="1">
      <alignment horizontal="right" vertical="center"/>
      <protection/>
    </xf>
    <xf numFmtId="171" fontId="4" fillId="0" borderId="10" xfId="71" applyFont="1" applyFill="1" applyBorder="1" applyAlignment="1" applyProtection="1">
      <alignment horizontal="right" vertical="center"/>
      <protection/>
    </xf>
    <xf numFmtId="171" fontId="3" fillId="0" borderId="10" xfId="71" applyFont="1" applyFill="1" applyBorder="1" applyAlignment="1" applyProtection="1">
      <alignment horizontal="right" vertical="center"/>
      <protection/>
    </xf>
    <xf numFmtId="171" fontId="3" fillId="0" borderId="37" xfId="71" applyFont="1" applyFill="1" applyBorder="1" applyAlignment="1" applyProtection="1">
      <alignment horizontal="right" vertical="center" wrapText="1"/>
      <protection/>
    </xf>
    <xf numFmtId="171" fontId="3" fillId="0" borderId="11" xfId="71" applyFont="1" applyFill="1" applyBorder="1" applyAlignment="1" applyProtection="1">
      <alignment horizontal="right"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 applyAlignment="1">
      <alignment horizontal="left"/>
      <protection/>
    </xf>
    <xf numFmtId="49" fontId="3" fillId="0" borderId="0" xfId="54" applyNumberFormat="1" applyFont="1" applyBorder="1">
      <alignment/>
      <protection/>
    </xf>
    <xf numFmtId="0" fontId="3" fillId="0" borderId="0" xfId="54" applyFont="1" applyFill="1" applyBorder="1" applyAlignment="1">
      <alignment horizontal="left" vertical="center"/>
      <protection/>
    </xf>
    <xf numFmtId="49" fontId="3" fillId="0" borderId="0" xfId="54" applyNumberFormat="1" applyFont="1" applyFill="1" applyBorder="1">
      <alignment/>
      <protection/>
    </xf>
    <xf numFmtId="172" fontId="3" fillId="0" borderId="0" xfId="54" applyNumberFormat="1" applyFont="1" applyFill="1" applyBorder="1" applyAlignment="1">
      <alignment horizontal="right" vertical="center"/>
      <protection/>
    </xf>
    <xf numFmtId="43" fontId="3" fillId="0" borderId="0" xfId="54" applyNumberFormat="1" applyFont="1" applyBorder="1" applyAlignment="1">
      <alignment horizontal="center" vertical="center"/>
      <protection/>
    </xf>
    <xf numFmtId="171" fontId="3" fillId="0" borderId="0" xfId="84" applyFont="1" applyAlignment="1">
      <alignment horizontal="center" vertical="center"/>
    </xf>
    <xf numFmtId="43" fontId="3" fillId="0" borderId="0" xfId="54" applyNumberFormat="1" applyFont="1" applyAlignment="1">
      <alignment horizontal="center" vertical="center"/>
      <protection/>
    </xf>
    <xf numFmtId="171" fontId="3" fillId="0" borderId="0" xfId="54" applyNumberFormat="1" applyFont="1" applyBorder="1" applyAlignment="1">
      <alignment horizontal="center" vertical="center"/>
      <protection/>
    </xf>
    <xf numFmtId="0" fontId="3" fillId="34" borderId="0" xfId="54" applyFont="1" applyFill="1" applyBorder="1" applyAlignment="1">
      <alignment horizontal="center" vertical="center"/>
      <protection/>
    </xf>
    <xf numFmtId="43" fontId="3" fillId="34" borderId="0" xfId="54" applyNumberFormat="1" applyFont="1" applyFill="1" applyBorder="1" applyAlignment="1">
      <alignment horizontal="center" vertical="center"/>
      <protection/>
    </xf>
    <xf numFmtId="43" fontId="3" fillId="34" borderId="0" xfId="54" applyNumberFormat="1" applyFont="1" applyFill="1" applyAlignment="1">
      <alignment horizontal="center" vertical="center"/>
      <protection/>
    </xf>
    <xf numFmtId="0" fontId="3" fillId="34" borderId="0" xfId="54" applyFont="1" applyFill="1" applyAlignment="1">
      <alignment horizontal="center" vertical="center"/>
      <protection/>
    </xf>
    <xf numFmtId="0" fontId="3" fillId="37" borderId="0" xfId="54" applyFont="1" applyFill="1" applyAlignment="1">
      <alignment horizontal="center" vertical="center"/>
      <protection/>
    </xf>
    <xf numFmtId="171" fontId="3" fillId="34" borderId="0" xfId="84" applyFont="1" applyFill="1" applyBorder="1" applyAlignment="1">
      <alignment horizontal="center" vertical="center"/>
    </xf>
    <xf numFmtId="4" fontId="3" fillId="34" borderId="0" xfId="54" applyNumberFormat="1" applyFont="1" applyFill="1" applyAlignment="1">
      <alignment horizontal="center" vertical="center"/>
      <protection/>
    </xf>
    <xf numFmtId="0" fontId="4" fillId="37" borderId="0" xfId="54" applyFont="1" applyFill="1" applyAlignment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0" xfId="54" applyFont="1" applyFill="1" applyAlignment="1">
      <alignment horizontal="center" vertical="center"/>
      <protection/>
    </xf>
    <xf numFmtId="171" fontId="3" fillId="34" borderId="0" xfId="54" applyNumberFormat="1" applyFont="1" applyFill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43" fontId="4" fillId="34" borderId="0" xfId="54" applyNumberFormat="1" applyFont="1" applyFill="1" applyBorder="1" applyAlignment="1">
      <alignment horizontal="center" vertical="center"/>
      <protection/>
    </xf>
    <xf numFmtId="171" fontId="3" fillId="34" borderId="0" xfId="84" applyFont="1" applyFill="1" applyAlignment="1">
      <alignment horizontal="center" vertical="center"/>
    </xf>
    <xf numFmtId="4" fontId="4" fillId="34" borderId="0" xfId="84" applyNumberFormat="1" applyFont="1" applyFill="1" applyBorder="1" applyAlignment="1" applyProtection="1">
      <alignment horizontal="right" vertical="center"/>
      <protection/>
    </xf>
    <xf numFmtId="4" fontId="3" fillId="34" borderId="0" xfId="54" applyNumberFormat="1" applyFont="1" applyFill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171" fontId="3" fillId="0" borderId="0" xfId="84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/>
    </xf>
    <xf numFmtId="2" fontId="0" fillId="0" borderId="0" xfId="56" applyNumberFormat="1" applyFont="1" applyFill="1" applyBorder="1" applyAlignment="1">
      <alignment vertical="top"/>
      <protection/>
    </xf>
    <xf numFmtId="0" fontId="3" fillId="0" borderId="0" xfId="56" applyFont="1" applyFill="1" applyBorder="1" applyAlignment="1">
      <alignment horizontal="left" indent="7"/>
      <protection/>
    </xf>
    <xf numFmtId="0" fontId="3" fillId="0" borderId="0" xfId="56" applyFont="1">
      <alignment/>
      <protection/>
    </xf>
    <xf numFmtId="0" fontId="4" fillId="0" borderId="0" xfId="56" applyFont="1" applyFill="1" applyAlignment="1">
      <alignment/>
      <protection/>
    </xf>
    <xf numFmtId="2" fontId="3" fillId="0" borderId="0" xfId="56" applyNumberFormat="1" applyFont="1" applyFill="1" applyBorder="1" applyAlignment="1">
      <alignment/>
      <protection/>
    </xf>
    <xf numFmtId="0" fontId="4" fillId="0" borderId="0" xfId="56" applyFont="1" applyFill="1" applyBorder="1" applyAlignment="1">
      <alignment/>
      <protection/>
    </xf>
    <xf numFmtId="0" fontId="3" fillId="0" borderId="0" xfId="56" applyFont="1" applyFill="1" applyAlignment="1">
      <alignment/>
      <protection/>
    </xf>
    <xf numFmtId="171" fontId="3" fillId="0" borderId="0" xfId="56" applyNumberFormat="1" applyFont="1" applyFill="1" applyAlignment="1">
      <alignment horizontal="left" indent="7"/>
      <protection/>
    </xf>
    <xf numFmtId="49" fontId="3" fillId="0" borderId="0" xfId="56" applyNumberFormat="1" applyFont="1" applyFill="1" applyAlignment="1">
      <alignment horizontal="left" indent="7"/>
      <protection/>
    </xf>
    <xf numFmtId="49" fontId="3" fillId="0" borderId="0" xfId="56" applyNumberFormat="1" applyFont="1" applyAlignment="1">
      <alignment/>
      <protection/>
    </xf>
    <xf numFmtId="2" fontId="3" fillId="0" borderId="0" xfId="56" applyNumberFormat="1" applyFont="1" applyFill="1">
      <alignment/>
      <protection/>
    </xf>
    <xf numFmtId="0" fontId="3" fillId="0" borderId="0" xfId="56" applyNumberFormat="1" applyFont="1">
      <alignment/>
      <protection/>
    </xf>
    <xf numFmtId="49" fontId="3" fillId="0" borderId="0" xfId="56" applyNumberFormat="1" applyFont="1" applyFill="1" applyBorder="1">
      <alignment/>
      <protection/>
    </xf>
    <xf numFmtId="49" fontId="3" fillId="0" borderId="0" xfId="56" applyNumberFormat="1" applyFont="1" applyFill="1">
      <alignment/>
      <protection/>
    </xf>
    <xf numFmtId="171" fontId="3" fillId="0" borderId="0" xfId="73" applyFont="1" applyFill="1" applyBorder="1" applyAlignment="1" applyProtection="1">
      <alignment/>
      <protection/>
    </xf>
    <xf numFmtId="0" fontId="3" fillId="0" borderId="0" xfId="56" applyFont="1" applyFill="1">
      <alignment/>
      <protection/>
    </xf>
    <xf numFmtId="49" fontId="4" fillId="0" borderId="0" xfId="56" applyNumberFormat="1" applyFont="1" applyFill="1" applyBorder="1">
      <alignment/>
      <protection/>
    </xf>
    <xf numFmtId="4" fontId="3" fillId="0" borderId="0" xfId="56" applyNumberFormat="1" applyFont="1" applyFill="1" applyBorder="1" applyAlignment="1">
      <alignment horizontal="right" vertical="center"/>
      <protection/>
    </xf>
    <xf numFmtId="4" fontId="3" fillId="0" borderId="0" xfId="56" applyNumberFormat="1" applyFont="1" applyFill="1">
      <alignment/>
      <protection/>
    </xf>
    <xf numFmtId="4" fontId="3" fillId="0" borderId="0" xfId="56" applyNumberFormat="1" applyFont="1">
      <alignment/>
      <protection/>
    </xf>
    <xf numFmtId="0" fontId="3" fillId="0" borderId="39" xfId="56" applyFont="1" applyFill="1" applyBorder="1" applyAlignment="1">
      <alignment vertical="top"/>
      <protection/>
    </xf>
    <xf numFmtId="171" fontId="3" fillId="0" borderId="0" xfId="84" applyFont="1" applyFill="1" applyBorder="1" applyAlignment="1">
      <alignment vertical="top"/>
    </xf>
    <xf numFmtId="171" fontId="3" fillId="0" borderId="14" xfId="73" applyFont="1" applyFill="1" applyBorder="1" applyAlignment="1" applyProtection="1">
      <alignment horizontal="center" vertical="center" wrapText="1"/>
      <protection/>
    </xf>
    <xf numFmtId="171" fontId="4" fillId="0" borderId="14" xfId="73" applyFont="1" applyFill="1" applyBorder="1" applyAlignment="1" applyProtection="1">
      <alignment horizontal="center" vertical="center" wrapText="1"/>
      <protection/>
    </xf>
    <xf numFmtId="171" fontId="3" fillId="0" borderId="38" xfId="63" applyFont="1" applyBorder="1" applyAlignment="1">
      <alignment vertical="center"/>
    </xf>
    <xf numFmtId="171" fontId="3" fillId="0" borderId="19" xfId="73" applyFont="1" applyFill="1" applyBorder="1" applyAlignment="1" applyProtection="1">
      <alignment horizontal="right" vertical="center"/>
      <protection/>
    </xf>
    <xf numFmtId="4" fontId="4" fillId="0" borderId="19" xfId="56" applyNumberFormat="1" applyFont="1" applyFill="1" applyBorder="1" applyAlignment="1">
      <alignment horizontal="right" vertical="center"/>
      <protection/>
    </xf>
    <xf numFmtId="171" fontId="3" fillId="0" borderId="18" xfId="73" applyFont="1" applyFill="1" applyBorder="1" applyAlignment="1" applyProtection="1">
      <alignment horizontal="right" vertical="center"/>
      <protection/>
    </xf>
    <xf numFmtId="4" fontId="3" fillId="0" borderId="19" xfId="56" applyNumberFormat="1" applyFont="1" applyFill="1" applyBorder="1" applyAlignment="1">
      <alignment horizontal="right" vertical="center"/>
      <protection/>
    </xf>
    <xf numFmtId="2" fontId="3" fillId="0" borderId="0" xfId="56" applyNumberFormat="1" applyFont="1" applyFill="1" applyBorder="1" applyAlignment="1">
      <alignment vertical="top"/>
      <protection/>
    </xf>
    <xf numFmtId="171" fontId="3" fillId="0" borderId="0" xfId="73" applyFont="1" applyFill="1" applyBorder="1" applyAlignment="1" applyProtection="1">
      <alignment vertical="center"/>
      <protection/>
    </xf>
    <xf numFmtId="171" fontId="3" fillId="0" borderId="0" xfId="73" applyFont="1" applyFill="1" applyBorder="1" applyAlignment="1" applyProtection="1">
      <alignment horizontal="right" vertical="center"/>
      <protection/>
    </xf>
    <xf numFmtId="171" fontId="3" fillId="0" borderId="0" xfId="73" applyFont="1" applyFill="1" applyBorder="1" applyAlignment="1" applyProtection="1">
      <alignment horizontal="center" vertical="center"/>
      <protection/>
    </xf>
    <xf numFmtId="4" fontId="3" fillId="0" borderId="0" xfId="56" applyNumberFormat="1" applyFont="1" applyFill="1" applyAlignment="1">
      <alignment horizontal="right" vertical="center"/>
      <protection/>
    </xf>
    <xf numFmtId="4" fontId="4" fillId="0" borderId="0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>
      <alignment horizontal="left" vertical="center"/>
      <protection/>
    </xf>
    <xf numFmtId="4" fontId="4" fillId="0" borderId="0" xfId="56" applyNumberFormat="1" applyFont="1">
      <alignment/>
      <protection/>
    </xf>
    <xf numFmtId="173" fontId="3" fillId="0" borderId="0" xfId="56" applyNumberFormat="1" applyFont="1" applyFill="1" applyAlignment="1">
      <alignment vertical="center"/>
      <protection/>
    </xf>
    <xf numFmtId="173" fontId="3" fillId="0" borderId="0" xfId="56" applyNumberFormat="1" applyFont="1" applyFill="1" applyAlignment="1">
      <alignment horizontal="center" vertical="center"/>
      <protection/>
    </xf>
    <xf numFmtId="4" fontId="3" fillId="0" borderId="0" xfId="56" applyNumberFormat="1" applyFont="1" applyFill="1" applyAlignment="1">
      <alignment vertical="center"/>
      <protection/>
    </xf>
    <xf numFmtId="171" fontId="3" fillId="0" borderId="0" xfId="63" applyFont="1" applyFill="1" applyAlignment="1">
      <alignment horizontal="right"/>
    </xf>
    <xf numFmtId="171" fontId="4" fillId="0" borderId="0" xfId="56" applyNumberFormat="1" applyFont="1" applyFill="1" applyAlignment="1">
      <alignment horizontal="center" vertical="center"/>
      <protection/>
    </xf>
    <xf numFmtId="4" fontId="3" fillId="0" borderId="0" xfId="56" applyNumberFormat="1" applyFont="1" applyFill="1" applyAlignment="1">
      <alignment horizontal="center" vertical="center"/>
      <protection/>
    </xf>
    <xf numFmtId="4" fontId="4" fillId="0" borderId="0" xfId="56" applyNumberFormat="1" applyFont="1" applyFill="1" applyAlignment="1">
      <alignment horizontal="left" vertical="center"/>
      <protection/>
    </xf>
    <xf numFmtId="43" fontId="4" fillId="0" borderId="0" xfId="56" applyNumberFormat="1" applyFont="1" applyAlignment="1">
      <alignment horizontal="right"/>
      <protection/>
    </xf>
    <xf numFmtId="4" fontId="3" fillId="0" borderId="0" xfId="0" applyNumberFormat="1" applyFont="1" applyBorder="1" applyAlignment="1">
      <alignment/>
    </xf>
    <xf numFmtId="0" fontId="4" fillId="0" borderId="0" xfId="56" applyFont="1" applyFill="1" applyBorder="1" applyAlignment="1">
      <alignment horizontal="center" vertical="center"/>
      <protection/>
    </xf>
    <xf numFmtId="43" fontId="3" fillId="0" borderId="0" xfId="56" applyNumberFormat="1" applyFont="1" applyFill="1">
      <alignment/>
      <protection/>
    </xf>
    <xf numFmtId="0" fontId="3" fillId="0" borderId="0" xfId="56" applyFont="1" applyFill="1" applyAlignment="1">
      <alignment horizontal="right"/>
      <protection/>
    </xf>
    <xf numFmtId="171" fontId="3" fillId="0" borderId="0" xfId="63" applyFont="1" applyFill="1" applyAlignment="1">
      <alignment/>
    </xf>
    <xf numFmtId="43" fontId="96" fillId="0" borderId="0" xfId="56" applyNumberFormat="1" applyFont="1" applyFill="1">
      <alignment/>
      <protection/>
    </xf>
    <xf numFmtId="0" fontId="3" fillId="0" borderId="0" xfId="56" applyNumberFormat="1" applyFont="1" applyFill="1" applyBorder="1">
      <alignment/>
      <protection/>
    </xf>
    <xf numFmtId="0" fontId="3" fillId="0" borderId="0" xfId="56" applyFont="1" applyBorder="1">
      <alignment/>
      <protection/>
    </xf>
    <xf numFmtId="171" fontId="3" fillId="0" borderId="0" xfId="84" applyFont="1" applyBorder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43" fontId="3" fillId="0" borderId="38" xfId="0" applyNumberFormat="1" applyFont="1" applyFill="1" applyBorder="1" applyAlignment="1">
      <alignment vertical="center"/>
    </xf>
    <xf numFmtId="171" fontId="3" fillId="0" borderId="0" xfId="63" applyFont="1" applyFill="1" applyAlignment="1">
      <alignment horizontal="center"/>
    </xf>
    <xf numFmtId="0" fontId="3" fillId="0" borderId="0" xfId="50" applyFont="1">
      <alignment/>
      <protection/>
    </xf>
    <xf numFmtId="0" fontId="4" fillId="0" borderId="0" xfId="0" applyFont="1" applyAlignment="1">
      <alignment vertical="center"/>
    </xf>
    <xf numFmtId="0" fontId="3" fillId="0" borderId="0" xfId="50" applyFont="1" applyBorder="1">
      <alignment/>
      <protection/>
    </xf>
    <xf numFmtId="0" fontId="97" fillId="0" borderId="0" xfId="50" applyFont="1" applyAlignment="1">
      <alignment horizontal="center" readingOrder="1"/>
      <protection/>
    </xf>
    <xf numFmtId="0" fontId="98" fillId="0" borderId="0" xfId="50" applyFont="1" applyAlignment="1">
      <alignment horizontal="center" readingOrder="1"/>
      <protection/>
    </xf>
    <xf numFmtId="0" fontId="3" fillId="0" borderId="0" xfId="57" applyFont="1" applyFill="1">
      <alignment/>
      <protection/>
    </xf>
    <xf numFmtId="0" fontId="3" fillId="0" borderId="0" xfId="50" applyFont="1" applyFill="1" applyBorder="1" applyAlignment="1">
      <alignment/>
      <protection/>
    </xf>
    <xf numFmtId="0" fontId="3" fillId="0" borderId="0" xfId="57" applyFont="1" applyFill="1" applyAlignment="1">
      <alignment/>
      <protection/>
    </xf>
    <xf numFmtId="49" fontId="3" fillId="0" borderId="0" xfId="57" applyNumberFormat="1" applyFont="1" applyFill="1" applyAlignment="1">
      <alignment horizontal="left" indent="7"/>
      <protection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Fill="1" applyBorder="1" applyAlignment="1">
      <alignment/>
      <protection/>
    </xf>
    <xf numFmtId="176" fontId="3" fillId="0" borderId="0" xfId="57" applyNumberFormat="1" applyFont="1" applyFill="1" applyAlignment="1">
      <alignment horizontal="right"/>
      <protection/>
    </xf>
    <xf numFmtId="176" fontId="3" fillId="0" borderId="0" xfId="57" applyNumberFormat="1" applyFont="1" applyFill="1" applyBorder="1" applyAlignment="1">
      <alignment horizontal="right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3" fillId="0" borderId="0" xfId="55" applyFont="1" applyFill="1" applyAlignment="1">
      <alignment horizontal="left"/>
      <protection/>
    </xf>
    <xf numFmtId="49" fontId="3" fillId="0" borderId="0" xfId="55" applyNumberFormat="1" applyFont="1" applyBorder="1">
      <alignment/>
      <protection/>
    </xf>
    <xf numFmtId="0" fontId="3" fillId="0" borderId="0" xfId="55" applyFont="1" applyFill="1" applyBorder="1" applyAlignment="1">
      <alignment horizontal="left"/>
      <protection/>
    </xf>
    <xf numFmtId="0" fontId="3" fillId="0" borderId="0" xfId="55" applyFont="1" applyFill="1" applyAlignment="1">
      <alignment horizontal="center" vertical="center"/>
      <protection/>
    </xf>
    <xf numFmtId="0" fontId="3" fillId="0" borderId="30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center" vertical="center"/>
      <protection/>
    </xf>
    <xf numFmtId="49" fontId="3" fillId="0" borderId="30" xfId="55" applyNumberFormat="1" applyFont="1" applyFill="1" applyBorder="1">
      <alignment/>
      <protection/>
    </xf>
    <xf numFmtId="172" fontId="3" fillId="0" borderId="30" xfId="55" applyNumberFormat="1" applyFont="1" applyFill="1" applyBorder="1" applyAlignment="1">
      <alignment horizontal="right" vertical="center"/>
      <protection/>
    </xf>
    <xf numFmtId="0" fontId="3" fillId="0" borderId="30" xfId="55" applyFont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41" xfId="55" applyFont="1" applyBorder="1" applyAlignment="1">
      <alignment horizontal="center" vertical="center"/>
      <protection/>
    </xf>
    <xf numFmtId="0" fontId="3" fillId="0" borderId="40" xfId="55" applyFont="1" applyBorder="1" applyAlignment="1">
      <alignment horizontal="center" vertical="center"/>
      <protection/>
    </xf>
    <xf numFmtId="171" fontId="3" fillId="0" borderId="27" xfId="72" applyFont="1" applyFill="1" applyBorder="1" applyAlignment="1" applyProtection="1">
      <alignment horizontal="right" vertical="center" wrapText="1"/>
      <protection/>
    </xf>
    <xf numFmtId="171" fontId="3" fillId="0" borderId="42" xfId="72" applyFont="1" applyFill="1" applyBorder="1" applyAlignment="1" applyProtection="1">
      <alignment horizontal="right" vertical="center"/>
      <protection/>
    </xf>
    <xf numFmtId="0" fontId="3" fillId="0" borderId="38" xfId="55" applyFont="1" applyBorder="1" applyAlignment="1">
      <alignment horizontal="center" vertical="center"/>
      <protection/>
    </xf>
    <xf numFmtId="171" fontId="4" fillId="0" borderId="27" xfId="72" applyFont="1" applyFill="1" applyBorder="1" applyAlignment="1" applyProtection="1">
      <alignment horizontal="right" vertical="center" wrapText="1"/>
      <protection/>
    </xf>
    <xf numFmtId="171" fontId="4" fillId="0" borderId="27" xfId="72" applyFont="1" applyFill="1" applyBorder="1" applyAlignment="1" applyProtection="1">
      <alignment horizontal="right" vertical="center"/>
      <protection/>
    </xf>
    <xf numFmtId="171" fontId="4" fillId="0" borderId="43" xfId="72" applyFont="1" applyFill="1" applyBorder="1" applyAlignment="1" applyProtection="1">
      <alignment horizontal="right" vertical="center"/>
      <protection/>
    </xf>
    <xf numFmtId="171" fontId="4" fillId="0" borderId="42" xfId="72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3" fontId="3" fillId="0" borderId="0" xfId="0" applyNumberFormat="1" applyFont="1" applyAlignment="1">
      <alignment vertical="center"/>
    </xf>
    <xf numFmtId="173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7" fontId="3" fillId="0" borderId="0" xfId="0" applyNumberFormat="1" applyFont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171" fontId="3" fillId="0" borderId="19" xfId="84" applyFont="1" applyFill="1" applyBorder="1" applyAlignment="1" applyProtection="1">
      <alignment horizontal="left" vertical="center"/>
      <protection/>
    </xf>
    <xf numFmtId="171" fontId="3" fillId="0" borderId="18" xfId="84" applyFont="1" applyFill="1" applyBorder="1" applyAlignment="1" applyProtection="1">
      <alignment horizontal="center" vertical="center"/>
      <protection/>
    </xf>
    <xf numFmtId="171" fontId="3" fillId="0" borderId="14" xfId="84" applyFont="1" applyFill="1" applyBorder="1" applyAlignment="1" applyProtection="1">
      <alignment horizontal="left" vertical="center"/>
      <protection/>
    </xf>
    <xf numFmtId="171" fontId="4" fillId="0" borderId="16" xfId="84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Border="1" applyAlignment="1">
      <alignment/>
    </xf>
    <xf numFmtId="9" fontId="3" fillId="0" borderId="10" xfId="0" applyNumberFormat="1" applyFont="1" applyBorder="1" applyAlignment="1">
      <alignment horizontal="center" vertical="center"/>
    </xf>
    <xf numFmtId="9" fontId="3" fillId="0" borderId="24" xfId="0" applyNumberFormat="1" applyFont="1" applyBorder="1" applyAlignment="1">
      <alignment horizontal="center" vertical="center"/>
    </xf>
    <xf numFmtId="171" fontId="3" fillId="0" borderId="22" xfId="84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vertical="center"/>
    </xf>
    <xf numFmtId="37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1" fontId="3" fillId="0" borderId="10" xfId="0" applyNumberFormat="1" applyFont="1" applyFill="1" applyBorder="1" applyAlignment="1">
      <alignment vertical="center"/>
    </xf>
    <xf numFmtId="37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9" fontId="3" fillId="0" borderId="39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indent="4"/>
    </xf>
    <xf numFmtId="171" fontId="23" fillId="0" borderId="0" xfId="84" applyFont="1" applyFill="1" applyBorder="1" applyAlignment="1" applyProtection="1">
      <alignment horizontal="center"/>
      <protection/>
    </xf>
    <xf numFmtId="40" fontId="20" fillId="0" borderId="0" xfId="0" applyNumberFormat="1" applyFont="1" applyFill="1" applyBorder="1" applyAlignment="1">
      <alignment horizontal="left" vertical="center"/>
    </xf>
    <xf numFmtId="40" fontId="16" fillId="0" borderId="0" xfId="0" applyNumberFormat="1" applyFont="1" applyFill="1" applyBorder="1" applyAlignment="1">
      <alignment horizontal="left" vertical="center"/>
    </xf>
    <xf numFmtId="4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40" fontId="16" fillId="0" borderId="0" xfId="0" applyNumberFormat="1" applyFont="1" applyFill="1" applyAlignment="1">
      <alignment/>
    </xf>
    <xf numFmtId="40" fontId="20" fillId="0" borderId="0" xfId="0" applyNumberFormat="1" applyFont="1" applyFill="1" applyBorder="1" applyAlignment="1">
      <alignment horizontal="left" vertical="center" indent="3"/>
    </xf>
    <xf numFmtId="0" fontId="20" fillId="0" borderId="0" xfId="0" applyFont="1" applyFill="1" applyAlignment="1">
      <alignment horizontal="left" vertical="center"/>
    </xf>
    <xf numFmtId="173" fontId="20" fillId="0" borderId="0" xfId="0" applyNumberFormat="1" applyFont="1" applyFill="1" applyAlignment="1">
      <alignment vertical="center"/>
    </xf>
    <xf numFmtId="171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18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/>
    </xf>
    <xf numFmtId="18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40" fontId="16" fillId="0" borderId="19" xfId="0" applyNumberFormat="1" applyFont="1" applyFill="1" applyBorder="1" applyAlignment="1">
      <alignment horizontal="right" vertical="center"/>
    </xf>
    <xf numFmtId="40" fontId="16" fillId="0" borderId="13" xfId="0" applyNumberFormat="1" applyFont="1" applyFill="1" applyBorder="1" applyAlignment="1">
      <alignment horizontal="right" vertical="center"/>
    </xf>
    <xf numFmtId="40" fontId="16" fillId="0" borderId="47" xfId="0" applyNumberFormat="1" applyFont="1" applyFill="1" applyBorder="1" applyAlignment="1">
      <alignment horizontal="right" vertical="center"/>
    </xf>
    <xf numFmtId="40" fontId="16" fillId="0" borderId="18" xfId="0" applyNumberFormat="1" applyFont="1" applyFill="1" applyBorder="1" applyAlignment="1">
      <alignment horizontal="right" vertical="center"/>
    </xf>
    <xf numFmtId="40" fontId="16" fillId="0" borderId="12" xfId="0" applyNumberFormat="1" applyFont="1" applyFill="1" applyBorder="1" applyAlignment="1">
      <alignment vertical="center"/>
    </xf>
    <xf numFmtId="40" fontId="16" fillId="0" borderId="13" xfId="0" applyNumberFormat="1" applyFont="1" applyFill="1" applyBorder="1" applyAlignment="1">
      <alignment vertical="center"/>
    </xf>
    <xf numFmtId="40" fontId="16" fillId="0" borderId="20" xfId="0" applyNumberFormat="1" applyFont="1" applyFill="1" applyBorder="1" applyAlignment="1">
      <alignment horizontal="right" vertical="center"/>
    </xf>
    <xf numFmtId="40" fontId="16" fillId="0" borderId="46" xfId="0" applyNumberFormat="1" applyFont="1" applyFill="1" applyBorder="1" applyAlignment="1">
      <alignment vertical="center"/>
    </xf>
    <xf numFmtId="40" fontId="16" fillId="0" borderId="36" xfId="0" applyNumberFormat="1" applyFont="1" applyFill="1" applyBorder="1" applyAlignment="1">
      <alignment vertical="center"/>
    </xf>
    <xf numFmtId="40" fontId="20" fillId="0" borderId="10" xfId="0" applyNumberFormat="1" applyFont="1" applyFill="1" applyBorder="1" applyAlignment="1">
      <alignment vertical="center"/>
    </xf>
    <xf numFmtId="40" fontId="20" fillId="34" borderId="11" xfId="0" applyNumberFormat="1" applyFont="1" applyFill="1" applyBorder="1" applyAlignment="1">
      <alignment vertical="center"/>
    </xf>
    <xf numFmtId="40" fontId="16" fillId="0" borderId="24" xfId="0" applyNumberFormat="1" applyFont="1" applyFill="1" applyBorder="1" applyAlignment="1">
      <alignment horizontal="right" vertical="center"/>
    </xf>
    <xf numFmtId="40" fontId="20" fillId="34" borderId="24" xfId="0" applyNumberFormat="1" applyFont="1" applyFill="1" applyBorder="1" applyAlignment="1">
      <alignment vertical="center"/>
    </xf>
    <xf numFmtId="40" fontId="20" fillId="34" borderId="16" xfId="0" applyNumberFormat="1" applyFont="1" applyFill="1" applyBorder="1" applyAlignment="1">
      <alignment vertical="center"/>
    </xf>
    <xf numFmtId="40" fontId="20" fillId="0" borderId="11" xfId="0" applyNumberFormat="1" applyFont="1" applyFill="1" applyBorder="1" applyAlignment="1">
      <alignment vertical="center"/>
    </xf>
    <xf numFmtId="40" fontId="20" fillId="34" borderId="0" xfId="0" applyNumberFormat="1" applyFont="1" applyFill="1" applyBorder="1" applyAlignment="1">
      <alignment vertical="center"/>
    </xf>
    <xf numFmtId="171" fontId="20" fillId="0" borderId="37" xfId="84" applyFont="1" applyFill="1" applyBorder="1" applyAlignment="1" applyProtection="1">
      <alignment horizontal="center" vertical="center"/>
      <protection/>
    </xf>
    <xf numFmtId="40" fontId="20" fillId="0" borderId="39" xfId="0" applyNumberFormat="1" applyFont="1" applyFill="1" applyBorder="1" applyAlignment="1">
      <alignment horizontal="left" vertical="center"/>
    </xf>
    <xf numFmtId="40" fontId="20" fillId="0" borderId="14" xfId="0" applyNumberFormat="1" applyFont="1" applyFill="1" applyBorder="1" applyAlignment="1">
      <alignment vertical="center"/>
    </xf>
    <xf numFmtId="40" fontId="20" fillId="34" borderId="17" xfId="0" applyNumberFormat="1" applyFont="1" applyFill="1" applyBorder="1" applyAlignment="1">
      <alignment vertical="center"/>
    </xf>
    <xf numFmtId="40" fontId="20" fillId="0" borderId="15" xfId="0" applyNumberFormat="1" applyFont="1" applyFill="1" applyBorder="1" applyAlignment="1">
      <alignment vertical="center"/>
    </xf>
    <xf numFmtId="40" fontId="16" fillId="0" borderId="20" xfId="0" applyNumberFormat="1" applyFont="1" applyFill="1" applyBorder="1" applyAlignment="1">
      <alignment vertical="center"/>
    </xf>
    <xf numFmtId="40" fontId="16" fillId="0" borderId="48" xfId="0" applyNumberFormat="1" applyFont="1" applyFill="1" applyBorder="1" applyAlignment="1">
      <alignment vertical="center"/>
    </xf>
    <xf numFmtId="40" fontId="16" fillId="0" borderId="11" xfId="0" applyNumberFormat="1" applyFont="1" applyFill="1" applyBorder="1" applyAlignment="1">
      <alignment vertical="center"/>
    </xf>
    <xf numFmtId="40" fontId="20" fillId="0" borderId="24" xfId="0" applyNumberFormat="1" applyFont="1" applyFill="1" applyBorder="1" applyAlignment="1">
      <alignment vertical="center"/>
    </xf>
    <xf numFmtId="40" fontId="20" fillId="34" borderId="35" xfId="0" applyNumberFormat="1" applyFont="1" applyFill="1" applyBorder="1" applyAlignment="1">
      <alignment vertical="center"/>
    </xf>
    <xf numFmtId="40" fontId="20" fillId="34" borderId="22" xfId="0" applyNumberFormat="1" applyFont="1" applyFill="1" applyBorder="1" applyAlignment="1">
      <alignment vertical="center"/>
    </xf>
    <xf numFmtId="40" fontId="20" fillId="0" borderId="26" xfId="0" applyNumberFormat="1" applyFont="1" applyFill="1" applyBorder="1" applyAlignment="1">
      <alignment vertical="center"/>
    </xf>
    <xf numFmtId="40" fontId="16" fillId="0" borderId="24" xfId="0" applyNumberFormat="1" applyFont="1" applyFill="1" applyBorder="1" applyAlignment="1">
      <alignment vertical="center"/>
    </xf>
    <xf numFmtId="40" fontId="20" fillId="0" borderId="16" xfId="0" applyNumberFormat="1" applyFont="1" applyFill="1" applyBorder="1" applyAlignment="1">
      <alignment vertical="center"/>
    </xf>
    <xf numFmtId="40" fontId="99" fillId="0" borderId="10" xfId="0" applyNumberFormat="1" applyFont="1" applyFill="1" applyBorder="1" applyAlignment="1">
      <alignment vertical="center"/>
    </xf>
    <xf numFmtId="40" fontId="99" fillId="0" borderId="0" xfId="0" applyNumberFormat="1" applyFont="1" applyFill="1" applyBorder="1" applyAlignment="1">
      <alignment vertical="center"/>
    </xf>
    <xf numFmtId="40" fontId="20" fillId="34" borderId="49" xfId="0" applyNumberFormat="1" applyFont="1" applyFill="1" applyBorder="1" applyAlignment="1">
      <alignment vertical="center"/>
    </xf>
    <xf numFmtId="40" fontId="99" fillId="0" borderId="0" xfId="0" applyNumberFormat="1" applyFont="1" applyFill="1" applyAlignment="1">
      <alignment/>
    </xf>
    <xf numFmtId="0" fontId="99" fillId="0" borderId="0" xfId="0" applyFont="1" applyFill="1" applyAlignment="1">
      <alignment/>
    </xf>
    <xf numFmtId="0" fontId="99" fillId="0" borderId="0" xfId="0" applyFont="1" applyAlignment="1">
      <alignment/>
    </xf>
    <xf numFmtId="40" fontId="20" fillId="0" borderId="35" xfId="0" applyNumberFormat="1" applyFont="1" applyFill="1" applyBorder="1" applyAlignment="1">
      <alignment vertical="center"/>
    </xf>
    <xf numFmtId="40" fontId="20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40" fontId="16" fillId="0" borderId="10" xfId="0" applyNumberFormat="1" applyFont="1" applyFill="1" applyBorder="1" applyAlignment="1">
      <alignment vertical="center"/>
    </xf>
    <xf numFmtId="40" fontId="16" fillId="34" borderId="33" xfId="0" applyNumberFormat="1" applyFont="1" applyFill="1" applyBorder="1" applyAlignment="1">
      <alignment vertical="center"/>
    </xf>
    <xf numFmtId="40" fontId="16" fillId="34" borderId="20" xfId="0" applyNumberFormat="1" applyFont="1" applyFill="1" applyBorder="1" applyAlignment="1">
      <alignment vertical="center"/>
    </xf>
    <xf numFmtId="40" fontId="16" fillId="34" borderId="50" xfId="0" applyNumberFormat="1" applyFont="1" applyFill="1" applyBorder="1" applyAlignment="1">
      <alignment vertical="center"/>
    </xf>
    <xf numFmtId="40" fontId="16" fillId="0" borderId="50" xfId="0" applyNumberFormat="1" applyFont="1" applyFill="1" applyBorder="1" applyAlignment="1">
      <alignment vertical="center"/>
    </xf>
    <xf numFmtId="40" fontId="16" fillId="0" borderId="37" xfId="0" applyNumberFormat="1" applyFont="1" applyFill="1" applyBorder="1" applyAlignment="1">
      <alignment vertical="center"/>
    </xf>
    <xf numFmtId="40" fontId="20" fillId="0" borderId="21" xfId="0" applyNumberFormat="1" applyFont="1" applyFill="1" applyBorder="1" applyAlignment="1">
      <alignment vertical="center"/>
    </xf>
    <xf numFmtId="40" fontId="20" fillId="34" borderId="51" xfId="0" applyNumberFormat="1" applyFont="1" applyFill="1" applyBorder="1" applyAlignment="1">
      <alignment vertical="center"/>
    </xf>
    <xf numFmtId="40" fontId="20" fillId="0" borderId="52" xfId="0" applyNumberFormat="1" applyFont="1" applyFill="1" applyBorder="1" applyAlignment="1">
      <alignment vertical="center"/>
    </xf>
    <xf numFmtId="40" fontId="16" fillId="34" borderId="31" xfId="0" applyNumberFormat="1" applyFont="1" applyFill="1" applyBorder="1" applyAlignment="1">
      <alignment vertical="center"/>
    </xf>
    <xf numFmtId="40" fontId="16" fillId="34" borderId="11" xfId="0" applyNumberFormat="1" applyFont="1" applyFill="1" applyBorder="1" applyAlignment="1">
      <alignment vertical="center"/>
    </xf>
    <xf numFmtId="40" fontId="16" fillId="34" borderId="24" xfId="0" applyNumberFormat="1" applyFont="1" applyFill="1" applyBorder="1" applyAlignment="1">
      <alignment vertical="center"/>
    </xf>
    <xf numFmtId="40" fontId="20" fillId="0" borderId="17" xfId="0" applyNumberFormat="1" applyFont="1" applyFill="1" applyBorder="1" applyAlignment="1">
      <alignment horizontal="left" vertical="center"/>
    </xf>
    <xf numFmtId="40" fontId="20" fillId="0" borderId="29" xfId="0" applyNumberFormat="1" applyFont="1" applyFill="1" applyBorder="1" applyAlignment="1">
      <alignment vertical="center"/>
    </xf>
    <xf numFmtId="40" fontId="16" fillId="0" borderId="16" xfId="0" applyNumberFormat="1" applyFont="1" applyFill="1" applyBorder="1" applyAlignment="1">
      <alignment horizontal="left" vertical="center"/>
    </xf>
    <xf numFmtId="39" fontId="16" fillId="34" borderId="53" xfId="0" applyNumberFormat="1" applyFont="1" applyFill="1" applyBorder="1" applyAlignment="1">
      <alignment vertical="center"/>
    </xf>
    <xf numFmtId="40" fontId="16" fillId="34" borderId="21" xfId="0" applyNumberFormat="1" applyFont="1" applyFill="1" applyBorder="1" applyAlignment="1">
      <alignment vertical="center"/>
    </xf>
    <xf numFmtId="40" fontId="99" fillId="0" borderId="11" xfId="0" applyNumberFormat="1" applyFont="1" applyFill="1" applyBorder="1" applyAlignment="1">
      <alignment vertical="center"/>
    </xf>
    <xf numFmtId="40" fontId="20" fillId="0" borderId="16" xfId="0" applyNumberFormat="1" applyFont="1" applyFill="1" applyBorder="1" applyAlignment="1">
      <alignment horizontal="left" vertical="center"/>
    </xf>
    <xf numFmtId="40" fontId="16" fillId="34" borderId="13" xfId="0" applyNumberFormat="1" applyFont="1" applyFill="1" applyBorder="1" applyAlignment="1">
      <alignment vertical="center"/>
    </xf>
    <xf numFmtId="40" fontId="16" fillId="34" borderId="54" xfId="0" applyNumberFormat="1" applyFont="1" applyFill="1" applyBorder="1" applyAlignment="1">
      <alignment vertical="center"/>
    </xf>
    <xf numFmtId="40" fontId="16" fillId="34" borderId="55" xfId="0" applyNumberFormat="1" applyFont="1" applyFill="1" applyBorder="1" applyAlignment="1">
      <alignment vertical="center"/>
    </xf>
    <xf numFmtId="40" fontId="16" fillId="34" borderId="48" xfId="0" applyNumberFormat="1" applyFont="1" applyFill="1" applyBorder="1" applyAlignment="1">
      <alignment vertical="center"/>
    </xf>
    <xf numFmtId="40" fontId="16" fillId="0" borderId="12" xfId="84" applyNumberFormat="1" applyFont="1" applyFill="1" applyBorder="1" applyAlignment="1" applyProtection="1">
      <alignment horizontal="right" vertical="center"/>
      <protection/>
    </xf>
    <xf numFmtId="40" fontId="16" fillId="0" borderId="34" xfId="84" applyNumberFormat="1" applyFont="1" applyFill="1" applyBorder="1" applyAlignment="1" applyProtection="1">
      <alignment horizontal="right" vertical="center"/>
      <protection/>
    </xf>
    <xf numFmtId="40" fontId="16" fillId="34" borderId="56" xfId="84" applyNumberFormat="1" applyFont="1" applyFill="1" applyBorder="1" applyAlignment="1" applyProtection="1">
      <alignment horizontal="right" vertical="center"/>
      <protection/>
    </xf>
    <xf numFmtId="40" fontId="16" fillId="34" borderId="32" xfId="84" applyNumberFormat="1" applyFont="1" applyFill="1" applyBorder="1" applyAlignment="1" applyProtection="1">
      <alignment horizontal="right" vertical="center"/>
      <protection/>
    </xf>
    <xf numFmtId="40" fontId="16" fillId="34" borderId="20" xfId="84" applyNumberFormat="1" applyFont="1" applyFill="1" applyBorder="1" applyAlignment="1" applyProtection="1">
      <alignment horizontal="right" vertical="center"/>
      <protection/>
    </xf>
    <xf numFmtId="40" fontId="16" fillId="0" borderId="50" xfId="84" applyNumberFormat="1" applyFont="1" applyFill="1" applyBorder="1" applyAlignment="1" applyProtection="1">
      <alignment horizontal="right" vertical="center"/>
      <protection/>
    </xf>
    <xf numFmtId="40" fontId="20" fillId="0" borderId="10" xfId="84" applyNumberFormat="1" applyFont="1" applyFill="1" applyBorder="1" applyAlignment="1" applyProtection="1">
      <alignment horizontal="right" vertical="center"/>
      <protection/>
    </xf>
    <xf numFmtId="40" fontId="20" fillId="0" borderId="0" xfId="84" applyNumberFormat="1" applyFont="1" applyFill="1" applyBorder="1" applyAlignment="1" applyProtection="1">
      <alignment horizontal="right" vertical="center"/>
      <protection/>
    </xf>
    <xf numFmtId="40" fontId="20" fillId="0" borderId="39" xfId="0" applyNumberFormat="1" applyFont="1" applyFill="1" applyBorder="1" applyAlignment="1">
      <alignment vertical="center"/>
    </xf>
    <xf numFmtId="40" fontId="16" fillId="34" borderId="44" xfId="0" applyNumberFormat="1" applyFont="1" applyFill="1" applyBorder="1" applyAlignment="1">
      <alignment vertical="center"/>
    </xf>
    <xf numFmtId="40" fontId="16" fillId="0" borderId="57" xfId="0" applyNumberFormat="1" applyFont="1" applyFill="1" applyBorder="1" applyAlignment="1">
      <alignment vertical="center"/>
    </xf>
    <xf numFmtId="40" fontId="20" fillId="0" borderId="58" xfId="0" applyNumberFormat="1" applyFont="1" applyFill="1" applyBorder="1" applyAlignment="1">
      <alignment horizontal="left" vertical="center"/>
    </xf>
    <xf numFmtId="40" fontId="16" fillId="0" borderId="10" xfId="84" applyNumberFormat="1" applyFont="1" applyFill="1" applyBorder="1" applyAlignment="1" applyProtection="1">
      <alignment horizontal="right" vertical="center"/>
      <protection/>
    </xf>
    <xf numFmtId="40" fontId="16" fillId="0" borderId="11" xfId="84" applyNumberFormat="1" applyFont="1" applyFill="1" applyBorder="1" applyAlignment="1" applyProtection="1">
      <alignment horizontal="right" vertical="center"/>
      <protection/>
    </xf>
    <xf numFmtId="40" fontId="16" fillId="0" borderId="16" xfId="84" applyNumberFormat="1" applyFont="1" applyFill="1" applyBorder="1" applyAlignment="1" applyProtection="1">
      <alignment horizontal="right" vertical="center"/>
      <protection/>
    </xf>
    <xf numFmtId="40" fontId="16" fillId="0" borderId="37" xfId="84" applyNumberFormat="1" applyFont="1" applyFill="1" applyBorder="1" applyAlignment="1" applyProtection="1">
      <alignment horizontal="right" vertical="center"/>
      <protection/>
    </xf>
    <xf numFmtId="40" fontId="16" fillId="34" borderId="33" xfId="84" applyNumberFormat="1" applyFont="1" applyFill="1" applyBorder="1" applyAlignment="1" applyProtection="1">
      <alignment horizontal="right" vertical="center"/>
      <protection/>
    </xf>
    <xf numFmtId="40" fontId="16" fillId="34" borderId="31" xfId="84" applyNumberFormat="1" applyFont="1" applyFill="1" applyBorder="1" applyAlignment="1" applyProtection="1">
      <alignment horizontal="right" vertical="center"/>
      <protection/>
    </xf>
    <xf numFmtId="40" fontId="16" fillId="0" borderId="0" xfId="84" applyNumberFormat="1" applyFont="1" applyFill="1" applyBorder="1" applyAlignment="1" applyProtection="1">
      <alignment horizontal="right" vertical="center"/>
      <protection/>
    </xf>
    <xf numFmtId="40" fontId="16" fillId="0" borderId="44" xfId="84" applyNumberFormat="1" applyFont="1" applyFill="1" applyBorder="1" applyAlignment="1" applyProtection="1">
      <alignment horizontal="right" vertical="center"/>
      <protection/>
    </xf>
    <xf numFmtId="40" fontId="16" fillId="0" borderId="20" xfId="84" applyNumberFormat="1" applyFont="1" applyFill="1" applyBorder="1" applyAlignment="1" applyProtection="1">
      <alignment horizontal="right" vertical="center"/>
      <protection/>
    </xf>
    <xf numFmtId="40" fontId="16" fillId="0" borderId="48" xfId="84" applyNumberFormat="1" applyFont="1" applyFill="1" applyBorder="1" applyAlignment="1" applyProtection="1">
      <alignment horizontal="right" vertical="center"/>
      <protection/>
    </xf>
    <xf numFmtId="40" fontId="16" fillId="0" borderId="11" xfId="84" applyNumberFormat="1" applyFont="1" applyFill="1" applyBorder="1" applyAlignment="1" applyProtection="1">
      <alignment vertical="center"/>
      <protection/>
    </xf>
    <xf numFmtId="171" fontId="20" fillId="0" borderId="59" xfId="84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40" fontId="16" fillId="34" borderId="56" xfId="0" applyNumberFormat="1" applyFont="1" applyFill="1" applyBorder="1" applyAlignment="1">
      <alignment vertical="center"/>
    </xf>
    <xf numFmtId="40" fontId="16" fillId="0" borderId="60" xfId="0" applyNumberFormat="1" applyFont="1" applyFill="1" applyBorder="1" applyAlignment="1">
      <alignment vertical="center"/>
    </xf>
    <xf numFmtId="40" fontId="16" fillId="0" borderId="16" xfId="0" applyNumberFormat="1" applyFont="1" applyFill="1" applyBorder="1" applyAlignment="1">
      <alignment vertical="center"/>
    </xf>
    <xf numFmtId="40" fontId="16" fillId="34" borderId="60" xfId="0" applyNumberFormat="1" applyFont="1" applyFill="1" applyBorder="1" applyAlignment="1">
      <alignment vertical="center"/>
    </xf>
    <xf numFmtId="40" fontId="20" fillId="0" borderId="59" xfId="0" applyNumberFormat="1" applyFont="1" applyFill="1" applyBorder="1" applyAlignment="1">
      <alignment vertical="center"/>
    </xf>
    <xf numFmtId="171" fontId="20" fillId="0" borderId="26" xfId="84" applyFont="1" applyFill="1" applyBorder="1" applyAlignment="1" applyProtection="1">
      <alignment horizontal="center" vertical="center"/>
      <protection/>
    </xf>
    <xf numFmtId="171" fontId="20" fillId="0" borderId="22" xfId="84" applyFont="1" applyFill="1" applyBorder="1" applyAlignment="1" applyProtection="1">
      <alignment horizontal="center" vertical="center"/>
      <protection/>
    </xf>
    <xf numFmtId="40" fontId="16" fillId="34" borderId="49" xfId="0" applyNumberFormat="1" applyFont="1" applyFill="1" applyBorder="1" applyAlignment="1">
      <alignment vertical="center"/>
    </xf>
    <xf numFmtId="40" fontId="20" fillId="0" borderId="37" xfId="0" applyNumberFormat="1" applyFont="1" applyFill="1" applyBorder="1" applyAlignment="1">
      <alignment vertical="center"/>
    </xf>
    <xf numFmtId="40" fontId="20" fillId="0" borderId="61" xfId="0" applyNumberFormat="1" applyFont="1" applyFill="1" applyBorder="1" applyAlignment="1">
      <alignment vertical="center"/>
    </xf>
    <xf numFmtId="40" fontId="20" fillId="34" borderId="40" xfId="0" applyNumberFormat="1" applyFont="1" applyFill="1" applyBorder="1" applyAlignment="1">
      <alignment vertical="center"/>
    </xf>
    <xf numFmtId="40" fontId="16" fillId="0" borderId="0" xfId="0" applyNumberFormat="1" applyFont="1" applyFill="1" applyBorder="1" applyAlignment="1">
      <alignment horizontal="right" vertical="center"/>
    </xf>
    <xf numFmtId="40" fontId="20" fillId="34" borderId="62" xfId="0" applyNumberFormat="1" applyFont="1" applyFill="1" applyBorder="1" applyAlignment="1">
      <alignment vertical="center"/>
    </xf>
    <xf numFmtId="40" fontId="20" fillId="0" borderId="63" xfId="0" applyNumberFormat="1" applyFont="1" applyFill="1" applyBorder="1" applyAlignment="1">
      <alignment vertical="center"/>
    </xf>
    <xf numFmtId="40" fontId="16" fillId="0" borderId="39" xfId="0" applyNumberFormat="1" applyFont="1" applyFill="1" applyBorder="1" applyAlignment="1">
      <alignment horizontal="left" vertical="center"/>
    </xf>
    <xf numFmtId="40" fontId="16" fillId="0" borderId="19" xfId="0" applyNumberFormat="1" applyFont="1" applyFill="1" applyBorder="1" applyAlignment="1">
      <alignment vertical="center"/>
    </xf>
    <xf numFmtId="40" fontId="16" fillId="0" borderId="25" xfId="0" applyNumberFormat="1" applyFont="1" applyFill="1" applyBorder="1" applyAlignment="1">
      <alignment vertical="center"/>
    </xf>
    <xf numFmtId="40" fontId="16" fillId="0" borderId="38" xfId="0" applyNumberFormat="1" applyFont="1" applyFill="1" applyBorder="1" applyAlignment="1">
      <alignment horizontal="right" vertical="center"/>
    </xf>
    <xf numFmtId="40" fontId="16" fillId="34" borderId="26" xfId="0" applyNumberFormat="1" applyFont="1" applyFill="1" applyBorder="1" applyAlignment="1">
      <alignment vertical="center"/>
    </xf>
    <xf numFmtId="40" fontId="16" fillId="0" borderId="64" xfId="0" applyNumberFormat="1" applyFont="1" applyFill="1" applyBorder="1" applyAlignment="1">
      <alignment vertical="center"/>
    </xf>
    <xf numFmtId="40" fontId="20" fillId="0" borderId="65" xfId="0" applyNumberFormat="1" applyFont="1" applyFill="1" applyBorder="1" applyAlignment="1">
      <alignment vertical="center"/>
    </xf>
    <xf numFmtId="40" fontId="20" fillId="0" borderId="0" xfId="0" applyNumberFormat="1" applyFont="1" applyFill="1" applyAlignment="1">
      <alignment horizontal="right"/>
    </xf>
    <xf numFmtId="40" fontId="16" fillId="0" borderId="15" xfId="0" applyNumberFormat="1" applyFont="1" applyFill="1" applyBorder="1" applyAlignment="1">
      <alignment vertical="center"/>
    </xf>
    <xf numFmtId="40" fontId="16" fillId="0" borderId="39" xfId="0" applyNumberFormat="1" applyFont="1" applyFill="1" applyBorder="1" applyAlignment="1">
      <alignment vertical="center"/>
    </xf>
    <xf numFmtId="40" fontId="16" fillId="0" borderId="66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171" fontId="20" fillId="0" borderId="0" xfId="74" applyNumberFormat="1" applyFont="1" applyFill="1" applyBorder="1" applyAlignment="1" applyProtection="1">
      <alignment horizontal="left" vertical="center"/>
      <protection/>
    </xf>
    <xf numFmtId="171" fontId="20" fillId="0" borderId="0" xfId="74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vertical="center"/>
    </xf>
    <xf numFmtId="37" fontId="3" fillId="0" borderId="0" xfId="0" applyNumberFormat="1" applyFont="1" applyBorder="1" applyAlignment="1">
      <alignment/>
    </xf>
    <xf numFmtId="0" fontId="20" fillId="0" borderId="0" xfId="0" applyFont="1" applyFill="1" applyAlignment="1">
      <alignment horizontal="left" indent="1"/>
    </xf>
    <xf numFmtId="49" fontId="4" fillId="0" borderId="0" xfId="0" applyNumberFormat="1" applyFont="1" applyBorder="1" applyAlignment="1">
      <alignment horizontal="left" indent="7"/>
    </xf>
    <xf numFmtId="49" fontId="20" fillId="0" borderId="0" xfId="0" applyNumberFormat="1" applyFont="1" applyFill="1" applyBorder="1" applyAlignment="1">
      <alignment horizontal="left" indent="1"/>
    </xf>
    <xf numFmtId="49" fontId="20" fillId="0" borderId="0" xfId="0" applyNumberFormat="1" applyFont="1" applyFill="1" applyBorder="1" applyAlignment="1">
      <alignment horizontal="left" indent="8"/>
    </xf>
    <xf numFmtId="4" fontId="16" fillId="0" borderId="0" xfId="0" applyNumberFormat="1" applyFont="1" applyFill="1" applyBorder="1" applyAlignment="1">
      <alignment horizontal="left" indent="8"/>
    </xf>
    <xf numFmtId="0" fontId="16" fillId="0" borderId="0" xfId="0" applyFont="1" applyFill="1" applyBorder="1" applyAlignment="1">
      <alignment horizontal="left" indent="8"/>
    </xf>
    <xf numFmtId="0" fontId="20" fillId="0" borderId="0" xfId="0" applyFont="1" applyFill="1" applyBorder="1" applyAlignment="1">
      <alignment horizontal="left" indent="8"/>
    </xf>
    <xf numFmtId="4" fontId="20" fillId="0" borderId="0" xfId="0" applyNumberFormat="1" applyFont="1" applyFill="1" applyBorder="1" applyAlignment="1">
      <alignment horizontal="left" indent="8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indent="8"/>
    </xf>
    <xf numFmtId="2" fontId="3" fillId="0" borderId="0" xfId="0" applyNumberFormat="1" applyFont="1" applyBorder="1" applyAlignment="1">
      <alignment/>
    </xf>
    <xf numFmtId="171" fontId="0" fillId="34" borderId="11" xfId="63" applyFont="1" applyFill="1" applyBorder="1" applyAlignment="1" applyProtection="1">
      <alignment horizontal="center" vertical="center"/>
      <protection/>
    </xf>
    <xf numFmtId="171" fontId="8" fillId="0" borderId="38" xfId="63" applyFont="1" applyFill="1" applyBorder="1" applyAlignment="1" applyProtection="1">
      <alignment horizontal="center" vertical="center"/>
      <protection/>
    </xf>
    <xf numFmtId="171" fontId="8" fillId="34" borderId="49" xfId="63" applyFont="1" applyFill="1" applyBorder="1" applyAlignment="1" applyProtection="1">
      <alignment horizontal="center" vertical="center"/>
      <protection/>
    </xf>
    <xf numFmtId="171" fontId="8" fillId="34" borderId="67" xfId="63" applyFont="1" applyFill="1" applyBorder="1" applyAlignment="1" applyProtection="1">
      <alignment horizontal="center" vertical="center"/>
      <protection/>
    </xf>
    <xf numFmtId="4" fontId="3" fillId="0" borderId="0" xfId="0" applyNumberFormat="1" applyFont="1" applyAlignment="1">
      <alignment/>
    </xf>
    <xf numFmtId="171" fontId="16" fillId="0" borderId="42" xfId="84" applyFont="1" applyFill="1" applyBorder="1" applyAlignment="1" applyProtection="1">
      <alignment horizontal="center" vertical="center"/>
      <protection/>
    </xf>
    <xf numFmtId="171" fontId="16" fillId="0" borderId="27" xfId="84" applyFont="1" applyFill="1" applyBorder="1" applyAlignment="1" applyProtection="1">
      <alignment horizontal="center" vertical="center"/>
      <protection/>
    </xf>
    <xf numFmtId="0" fontId="3" fillId="0" borderId="38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left" vertical="center" wrapText="1"/>
      <protection/>
    </xf>
    <xf numFmtId="171" fontId="4" fillId="0" borderId="38" xfId="72" applyFont="1" applyFill="1" applyBorder="1" applyAlignment="1" applyProtection="1">
      <alignment horizontal="right" vertical="center"/>
      <protection/>
    </xf>
    <xf numFmtId="171" fontId="4" fillId="0" borderId="38" xfId="72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horizontal="left"/>
    </xf>
    <xf numFmtId="171" fontId="3" fillId="0" borderId="49" xfId="55" applyNumberFormat="1" applyFont="1" applyFill="1" applyBorder="1" applyAlignment="1">
      <alignment horizontal="center" vertical="center"/>
      <protection/>
    </xf>
    <xf numFmtId="171" fontId="3" fillId="0" borderId="0" xfId="55" applyNumberFormat="1" applyFont="1" applyFill="1" applyBorder="1" applyAlignment="1">
      <alignment horizontal="center" vertical="center"/>
      <protection/>
    </xf>
    <xf numFmtId="171" fontId="3" fillId="0" borderId="21" xfId="55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68" xfId="0" applyNumberFormat="1" applyFont="1" applyFill="1" applyBorder="1" applyAlignment="1">
      <alignment horizontal="center" vertical="center" wrapText="1"/>
    </xf>
    <xf numFmtId="43" fontId="4" fillId="0" borderId="0" xfId="54" applyNumberFormat="1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right" vertical="center"/>
      <protection/>
    </xf>
    <xf numFmtId="171" fontId="3" fillId="0" borderId="0" xfId="71" applyFont="1" applyFill="1" applyBorder="1" applyAlignment="1" applyProtection="1">
      <alignment horizontal="right" vertical="center"/>
      <protection/>
    </xf>
    <xf numFmtId="3" fontId="4" fillId="0" borderId="0" xfId="54" applyNumberFormat="1" applyFont="1" applyFill="1" applyBorder="1" applyAlignment="1">
      <alignment vertical="center" wrapText="1"/>
      <protection/>
    </xf>
    <xf numFmtId="3" fontId="4" fillId="0" borderId="38" xfId="54" applyNumberFormat="1" applyFont="1" applyFill="1" applyBorder="1" applyAlignment="1">
      <alignment vertical="center" wrapText="1"/>
      <protection/>
    </xf>
    <xf numFmtId="3" fontId="4" fillId="0" borderId="38" xfId="54" applyNumberFormat="1" applyFont="1" applyFill="1" applyBorder="1" applyAlignment="1">
      <alignment horizontal="center" vertical="center"/>
      <protection/>
    </xf>
    <xf numFmtId="0" fontId="14" fillId="0" borderId="0" xfId="54" applyFont="1" applyBorder="1" applyAlignment="1">
      <alignment horizontal="center" vertical="center"/>
      <protection/>
    </xf>
    <xf numFmtId="171" fontId="0" fillId="0" borderId="0" xfId="84" applyFont="1" applyFill="1" applyBorder="1" applyAlignment="1">
      <alignment horizontal="center" vertical="center"/>
    </xf>
    <xf numFmtId="0" fontId="4" fillId="0" borderId="38" xfId="54" applyFont="1" applyFill="1" applyBorder="1" applyAlignment="1">
      <alignment horizontal="left" vertical="center" wrapText="1"/>
      <protection/>
    </xf>
    <xf numFmtId="171" fontId="0" fillId="0" borderId="51" xfId="84" applyFont="1" applyFill="1" applyBorder="1" applyAlignment="1">
      <alignment horizontal="center" vertical="center"/>
    </xf>
    <xf numFmtId="171" fontId="0" fillId="0" borderId="30" xfId="84" applyFont="1" applyFill="1" applyBorder="1" applyAlignment="1">
      <alignment horizontal="center" vertical="center"/>
    </xf>
    <xf numFmtId="3" fontId="3" fillId="0" borderId="38" xfId="54" applyNumberFormat="1" applyFont="1" applyFill="1" applyBorder="1" applyAlignment="1">
      <alignment vertical="center" wrapText="1"/>
      <protection/>
    </xf>
    <xf numFmtId="171" fontId="8" fillId="0" borderId="38" xfId="84" applyFont="1" applyFill="1" applyBorder="1" applyAlignment="1">
      <alignment horizontal="center" vertical="center"/>
    </xf>
    <xf numFmtId="171" fontId="8" fillId="0" borderId="0" xfId="84" applyFont="1" applyFill="1" applyBorder="1" applyAlignment="1">
      <alignment horizontal="center" vertical="center"/>
    </xf>
    <xf numFmtId="3" fontId="4" fillId="0" borderId="38" xfId="54" applyNumberFormat="1" applyFont="1" applyFill="1" applyBorder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/>
      <protection/>
    </xf>
    <xf numFmtId="3" fontId="4" fillId="0" borderId="41" xfId="54" applyNumberFormat="1" applyFont="1" applyFill="1" applyBorder="1" applyAlignment="1">
      <alignment vertical="center" wrapText="1"/>
      <protection/>
    </xf>
    <xf numFmtId="3" fontId="3" fillId="0" borderId="41" xfId="54" applyNumberFormat="1" applyFont="1" applyFill="1" applyBorder="1" applyAlignment="1">
      <alignment vertical="center" wrapText="1"/>
      <protection/>
    </xf>
    <xf numFmtId="171" fontId="4" fillId="0" borderId="24" xfId="71" applyFont="1" applyFill="1" applyBorder="1" applyAlignment="1" applyProtection="1">
      <alignment horizontal="right" vertical="center" wrapText="1"/>
      <protection/>
    </xf>
    <xf numFmtId="171" fontId="4" fillId="0" borderId="37" xfId="71" applyFont="1" applyFill="1" applyBorder="1" applyAlignment="1" applyProtection="1">
      <alignment horizontal="right" vertical="center"/>
      <protection/>
    </xf>
    <xf numFmtId="3" fontId="4" fillId="0" borderId="53" xfId="54" applyNumberFormat="1" applyFont="1" applyFill="1" applyBorder="1" applyAlignment="1">
      <alignment horizontal="left" vertical="center"/>
      <protection/>
    </xf>
    <xf numFmtId="3" fontId="4" fillId="0" borderId="53" xfId="54" applyNumberFormat="1" applyFont="1" applyFill="1" applyBorder="1" applyAlignment="1">
      <alignment horizontal="left" vertical="center" indent="1"/>
      <protection/>
    </xf>
    <xf numFmtId="3" fontId="3" fillId="0" borderId="53" xfId="54" applyNumberFormat="1" applyFont="1" applyFill="1" applyBorder="1" applyAlignment="1">
      <alignment horizontal="left" vertical="center" indent="2"/>
      <protection/>
    </xf>
    <xf numFmtId="3" fontId="3" fillId="0" borderId="53" xfId="54" applyNumberFormat="1" applyFont="1" applyFill="1" applyBorder="1" applyAlignment="1">
      <alignment horizontal="left" vertical="center" indent="1"/>
      <protection/>
    </xf>
    <xf numFmtId="3" fontId="3" fillId="0" borderId="49" xfId="54" applyNumberFormat="1" applyFont="1" applyFill="1" applyBorder="1" applyAlignment="1">
      <alignment horizontal="left" vertical="center" indent="2"/>
      <protection/>
    </xf>
    <xf numFmtId="3" fontId="4" fillId="0" borderId="49" xfId="54" applyNumberFormat="1" applyFont="1" applyFill="1" applyBorder="1" applyAlignment="1">
      <alignment horizontal="left" vertical="center"/>
      <protection/>
    </xf>
    <xf numFmtId="3" fontId="3" fillId="0" borderId="49" xfId="54" applyNumberFormat="1" applyFont="1" applyFill="1" applyBorder="1" applyAlignment="1">
      <alignment horizontal="left" vertical="center" indent="1"/>
      <protection/>
    </xf>
    <xf numFmtId="3" fontId="4" fillId="0" borderId="49" xfId="54" applyNumberFormat="1" applyFont="1" applyFill="1" applyBorder="1" applyAlignment="1">
      <alignment horizontal="left" vertical="center" indent="1"/>
      <protection/>
    </xf>
    <xf numFmtId="4" fontId="4" fillId="0" borderId="49" xfId="54" applyNumberFormat="1" applyFont="1" applyFill="1" applyBorder="1" applyAlignment="1">
      <alignment horizontal="left" vertical="center" wrapText="1"/>
      <protection/>
    </xf>
    <xf numFmtId="0" fontId="4" fillId="0" borderId="49" xfId="54" applyFont="1" applyFill="1" applyBorder="1" applyAlignment="1">
      <alignment horizontal="left" vertical="center"/>
      <protection/>
    </xf>
    <xf numFmtId="3" fontId="4" fillId="0" borderId="67" xfId="54" applyNumberFormat="1" applyFont="1" applyFill="1" applyBorder="1" applyAlignment="1">
      <alignment vertical="center"/>
      <protection/>
    </xf>
    <xf numFmtId="3" fontId="4" fillId="0" borderId="20" xfId="54" applyNumberFormat="1" applyFont="1" applyFill="1" applyBorder="1" applyAlignment="1">
      <alignment vertical="center" wrapText="1"/>
      <protection/>
    </xf>
    <xf numFmtId="3" fontId="3" fillId="0" borderId="49" xfId="54" applyNumberFormat="1" applyFont="1" applyFill="1" applyBorder="1" applyAlignment="1">
      <alignment vertical="center" wrapText="1"/>
      <protection/>
    </xf>
    <xf numFmtId="3" fontId="4" fillId="0" borderId="49" xfId="54" applyNumberFormat="1" applyFont="1" applyFill="1" applyBorder="1" applyAlignment="1">
      <alignment vertical="center" wrapText="1"/>
      <protection/>
    </xf>
    <xf numFmtId="171" fontId="0" fillId="0" borderId="52" xfId="84" applyFont="1" applyFill="1" applyBorder="1" applyAlignment="1">
      <alignment horizontal="center" vertical="center"/>
    </xf>
    <xf numFmtId="171" fontId="0" fillId="0" borderId="21" xfId="84" applyFont="1" applyFill="1" applyBorder="1" applyAlignment="1">
      <alignment horizontal="center" vertical="center"/>
    </xf>
    <xf numFmtId="171" fontId="3" fillId="0" borderId="37" xfId="84" applyFont="1" applyFill="1" applyBorder="1" applyAlignment="1" applyProtection="1">
      <alignment horizontal="center" vertical="center"/>
      <protection/>
    </xf>
    <xf numFmtId="0" fontId="3" fillId="0" borderId="49" xfId="55" applyFont="1" applyFill="1" applyBorder="1" applyAlignment="1">
      <alignment horizontal="left" vertical="center"/>
      <protection/>
    </xf>
    <xf numFmtId="171" fontId="8" fillId="0" borderId="32" xfId="84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1" fontId="4" fillId="0" borderId="37" xfId="84" applyFont="1" applyFill="1" applyBorder="1" applyAlignment="1" applyProtection="1">
      <alignment horizontal="center" vertical="center"/>
      <protection/>
    </xf>
    <xf numFmtId="171" fontId="4" fillId="0" borderId="69" xfId="84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vertical="center"/>
    </xf>
    <xf numFmtId="171" fontId="3" fillId="0" borderId="37" xfId="0" applyNumberFormat="1" applyFont="1" applyFill="1" applyBorder="1" applyAlignment="1">
      <alignment vertical="center"/>
    </xf>
    <xf numFmtId="171" fontId="3" fillId="0" borderId="37" xfId="84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>
      <alignment vertical="center"/>
    </xf>
    <xf numFmtId="171" fontId="3" fillId="0" borderId="21" xfId="84" applyFont="1" applyFill="1" applyBorder="1" applyAlignment="1" applyProtection="1">
      <alignment vertical="center"/>
      <protection/>
    </xf>
    <xf numFmtId="0" fontId="3" fillId="0" borderId="65" xfId="0" applyFont="1" applyFill="1" applyBorder="1" applyAlignment="1">
      <alignment vertical="center"/>
    </xf>
    <xf numFmtId="0" fontId="3" fillId="0" borderId="30" xfId="0" applyFont="1" applyBorder="1" applyAlignment="1">
      <alignment/>
    </xf>
    <xf numFmtId="0" fontId="19" fillId="0" borderId="30" xfId="0" applyFont="1" applyBorder="1" applyAlignment="1">
      <alignment/>
    </xf>
    <xf numFmtId="37" fontId="3" fillId="0" borderId="30" xfId="0" applyNumberFormat="1" applyFont="1" applyBorder="1" applyAlignment="1">
      <alignment/>
    </xf>
    <xf numFmtId="172" fontId="3" fillId="0" borderId="30" xfId="0" applyNumberFormat="1" applyFont="1" applyBorder="1" applyAlignment="1">
      <alignment horizontal="right"/>
    </xf>
    <xf numFmtId="0" fontId="4" fillId="34" borderId="70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4" fillId="34" borderId="72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49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49" fontId="3" fillId="0" borderId="54" xfId="0" applyNumberFormat="1" applyFont="1" applyBorder="1" applyAlignment="1">
      <alignment/>
    </xf>
    <xf numFmtId="0" fontId="3" fillId="0" borderId="49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4" fillId="34" borderId="6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4" fillId="34" borderId="72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5" fillId="0" borderId="72" xfId="0" applyFont="1" applyFill="1" applyBorder="1" applyAlignment="1">
      <alignment vertical="center"/>
    </xf>
    <xf numFmtId="49" fontId="16" fillId="0" borderId="53" xfId="0" applyNumberFormat="1" applyFont="1" applyFill="1" applyBorder="1" applyAlignment="1">
      <alignment horizontal="left" vertical="center"/>
    </xf>
    <xf numFmtId="49" fontId="16" fillId="0" borderId="53" xfId="0" applyNumberFormat="1" applyFont="1" applyFill="1" applyBorder="1" applyAlignment="1">
      <alignment horizontal="left" vertical="center" indent="1"/>
    </xf>
    <xf numFmtId="49" fontId="20" fillId="0" borderId="53" xfId="0" applyNumberFormat="1" applyFont="1" applyFill="1" applyBorder="1" applyAlignment="1">
      <alignment horizontal="left" vertical="center" indent="2"/>
    </xf>
    <xf numFmtId="49" fontId="20" fillId="0" borderId="26" xfId="0" applyNumberFormat="1" applyFont="1" applyFill="1" applyBorder="1" applyAlignment="1">
      <alignment horizontal="left" vertical="center" indent="2"/>
    </xf>
    <xf numFmtId="171" fontId="16" fillId="0" borderId="37" xfId="84" applyFont="1" applyFill="1" applyBorder="1" applyAlignment="1" applyProtection="1">
      <alignment horizontal="left" vertical="center" wrapText="1"/>
      <protection/>
    </xf>
    <xf numFmtId="171" fontId="20" fillId="0" borderId="37" xfId="84" applyFont="1" applyFill="1" applyBorder="1" applyAlignment="1" applyProtection="1">
      <alignment horizontal="left" vertical="center" wrapText="1"/>
      <protection/>
    </xf>
    <xf numFmtId="171" fontId="20" fillId="0" borderId="59" xfId="84" applyFont="1" applyFill="1" applyBorder="1" applyAlignment="1" applyProtection="1">
      <alignment horizontal="left" vertical="center" wrapText="1"/>
      <protection/>
    </xf>
    <xf numFmtId="49" fontId="16" fillId="0" borderId="56" xfId="0" applyNumberFormat="1" applyFont="1" applyFill="1" applyBorder="1" applyAlignment="1">
      <alignment horizontal="left" vertical="center"/>
    </xf>
    <xf numFmtId="49" fontId="16" fillId="0" borderId="72" xfId="0" applyNumberFormat="1" applyFont="1" applyFill="1" applyBorder="1" applyAlignment="1">
      <alignment horizontal="left" vertical="center"/>
    </xf>
    <xf numFmtId="0" fontId="16" fillId="0" borderId="53" xfId="0" applyNumberFormat="1" applyFont="1" applyFill="1" applyBorder="1" applyAlignment="1">
      <alignment horizontal="left" vertical="center" indent="2"/>
    </xf>
    <xf numFmtId="49" fontId="20" fillId="0" borderId="53" xfId="0" applyNumberFormat="1" applyFont="1" applyFill="1" applyBorder="1" applyAlignment="1">
      <alignment horizontal="left" vertical="center" indent="5"/>
    </xf>
    <xf numFmtId="0" fontId="20" fillId="0" borderId="67" xfId="0" applyNumberFormat="1" applyFont="1" applyFill="1" applyBorder="1" applyAlignment="1">
      <alignment/>
    </xf>
    <xf numFmtId="0" fontId="20" fillId="0" borderId="53" xfId="0" applyNumberFormat="1" applyFont="1" applyFill="1" applyBorder="1" applyAlignment="1">
      <alignment/>
    </xf>
    <xf numFmtId="0" fontId="20" fillId="0" borderId="5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top"/>
    </xf>
    <xf numFmtId="0" fontId="16" fillId="0" borderId="53" xfId="0" applyNumberFormat="1" applyFont="1" applyFill="1" applyBorder="1" applyAlignment="1">
      <alignment vertical="center"/>
    </xf>
    <xf numFmtId="0" fontId="20" fillId="0" borderId="53" xfId="0" applyNumberFormat="1" applyFont="1" applyFill="1" applyBorder="1" applyAlignment="1">
      <alignment horizontal="left" vertical="center" indent="1"/>
    </xf>
    <xf numFmtId="0" fontId="20" fillId="0" borderId="53" xfId="0" applyNumberFormat="1" applyFont="1" applyFill="1" applyBorder="1" applyAlignment="1">
      <alignment horizontal="left" vertical="center" indent="4"/>
    </xf>
    <xf numFmtId="0" fontId="20" fillId="0" borderId="23" xfId="0" applyNumberFormat="1" applyFont="1" applyFill="1" applyBorder="1" applyAlignment="1">
      <alignment horizontal="left" vertical="center" indent="4"/>
    </xf>
    <xf numFmtId="0" fontId="16" fillId="0" borderId="23" xfId="0" applyNumberFormat="1" applyFont="1" applyFill="1" applyBorder="1" applyAlignment="1">
      <alignment vertical="center"/>
    </xf>
    <xf numFmtId="171" fontId="16" fillId="0" borderId="37" xfId="84" applyFont="1" applyFill="1" applyBorder="1" applyAlignment="1" applyProtection="1">
      <alignment horizontal="right" vertical="center" wrapText="1"/>
      <protection/>
    </xf>
    <xf numFmtId="171" fontId="16" fillId="0" borderId="36" xfId="84" applyFont="1" applyFill="1" applyBorder="1" applyAlignment="1" applyProtection="1">
      <alignment horizontal="right" vertical="center"/>
      <protection/>
    </xf>
    <xf numFmtId="171" fontId="16" fillId="0" borderId="37" xfId="84" applyFont="1" applyFill="1" applyBorder="1" applyAlignment="1" applyProtection="1">
      <alignment horizontal="right" vertical="center"/>
      <protection/>
    </xf>
    <xf numFmtId="171" fontId="20" fillId="0" borderId="37" xfId="84" applyFont="1" applyFill="1" applyBorder="1" applyAlignment="1" applyProtection="1">
      <alignment horizontal="center" vertical="top"/>
      <protection/>
    </xf>
    <xf numFmtId="171" fontId="16" fillId="0" borderId="37" xfId="84" applyFont="1" applyFill="1" applyBorder="1" applyAlignment="1" applyProtection="1">
      <alignment vertical="center"/>
      <protection/>
    </xf>
    <xf numFmtId="171" fontId="20" fillId="0" borderId="37" xfId="84" applyFont="1" applyFill="1" applyBorder="1" applyAlignment="1" applyProtection="1">
      <alignment vertical="center"/>
      <protection/>
    </xf>
    <xf numFmtId="171" fontId="16" fillId="0" borderId="36" xfId="84" applyFont="1" applyFill="1" applyBorder="1" applyAlignment="1" applyProtection="1">
      <alignment vertical="center"/>
      <protection/>
    </xf>
    <xf numFmtId="171" fontId="16" fillId="0" borderId="69" xfId="84" applyFont="1" applyFill="1" applyBorder="1" applyAlignment="1" applyProtection="1">
      <alignment vertical="center"/>
      <protection/>
    </xf>
    <xf numFmtId="0" fontId="16" fillId="0" borderId="71" xfId="0" applyFont="1" applyFill="1" applyBorder="1" applyAlignment="1">
      <alignment horizontal="center" vertical="center"/>
    </xf>
    <xf numFmtId="40" fontId="20" fillId="0" borderId="49" xfId="0" applyNumberFormat="1" applyFont="1" applyFill="1" applyBorder="1" applyAlignment="1">
      <alignment horizontal="left" vertical="center"/>
    </xf>
    <xf numFmtId="40" fontId="20" fillId="0" borderId="71" xfId="0" applyNumberFormat="1" applyFont="1" applyFill="1" applyBorder="1" applyAlignment="1">
      <alignment horizontal="left" vertical="center"/>
    </xf>
    <xf numFmtId="40" fontId="16" fillId="0" borderId="49" xfId="0" applyNumberFormat="1" applyFont="1" applyFill="1" applyBorder="1" applyAlignment="1">
      <alignment horizontal="left" vertical="center"/>
    </xf>
    <xf numFmtId="40" fontId="20" fillId="0" borderId="51" xfId="0" applyNumberFormat="1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center" vertical="center"/>
    </xf>
    <xf numFmtId="40" fontId="16" fillId="0" borderId="69" xfId="0" applyNumberFormat="1" applyFont="1" applyFill="1" applyBorder="1" applyAlignment="1">
      <alignment horizontal="right" vertical="center"/>
    </xf>
    <xf numFmtId="40" fontId="16" fillId="0" borderId="44" xfId="0" applyNumberFormat="1" applyFont="1" applyFill="1" applyBorder="1" applyAlignment="1">
      <alignment horizontal="left" vertical="center"/>
    </xf>
    <xf numFmtId="40" fontId="16" fillId="0" borderId="57" xfId="0" applyNumberFormat="1" applyFont="1" applyFill="1" applyBorder="1" applyAlignment="1">
      <alignment horizontal="left" vertical="center"/>
    </xf>
    <xf numFmtId="40" fontId="99" fillId="0" borderId="49" xfId="0" applyNumberFormat="1" applyFont="1" applyFill="1" applyBorder="1" applyAlignment="1">
      <alignment horizontal="left" vertical="center"/>
    </xf>
    <xf numFmtId="40" fontId="99" fillId="0" borderId="16" xfId="0" applyNumberFormat="1" applyFont="1" applyFill="1" applyBorder="1" applyAlignment="1">
      <alignment horizontal="left" vertical="center"/>
    </xf>
    <xf numFmtId="171" fontId="20" fillId="0" borderId="35" xfId="84" applyFont="1" applyFill="1" applyBorder="1" applyAlignment="1" applyProtection="1">
      <alignment horizontal="center" vertical="center"/>
      <protection/>
    </xf>
    <xf numFmtId="40" fontId="20" fillId="34" borderId="59" xfId="0" applyNumberFormat="1" applyFont="1" applyFill="1" applyBorder="1" applyAlignment="1">
      <alignment vertical="center"/>
    </xf>
    <xf numFmtId="40" fontId="16" fillId="0" borderId="36" xfId="84" applyNumberFormat="1" applyFont="1" applyFill="1" applyBorder="1" applyAlignment="1" applyProtection="1">
      <alignment horizontal="right" vertical="center"/>
      <protection/>
    </xf>
    <xf numFmtId="40" fontId="16" fillId="0" borderId="21" xfId="0" applyNumberFormat="1" applyFont="1" applyFill="1" applyBorder="1" applyAlignment="1">
      <alignment vertical="center"/>
    </xf>
    <xf numFmtId="40" fontId="20" fillId="0" borderId="73" xfId="0" applyNumberFormat="1" applyFont="1" applyFill="1" applyBorder="1" applyAlignment="1">
      <alignment vertical="center"/>
    </xf>
    <xf numFmtId="40" fontId="16" fillId="0" borderId="69" xfId="0" applyNumberFormat="1" applyFont="1" applyFill="1" applyBorder="1" applyAlignment="1">
      <alignment vertical="center"/>
    </xf>
    <xf numFmtId="40" fontId="16" fillId="0" borderId="71" xfId="0" applyNumberFormat="1" applyFont="1" applyFill="1" applyBorder="1" applyAlignment="1">
      <alignment horizontal="left" vertical="center"/>
    </xf>
    <xf numFmtId="171" fontId="8" fillId="0" borderId="36" xfId="63" applyFont="1" applyFill="1" applyBorder="1" applyAlignment="1" applyProtection="1">
      <alignment horizontal="center" vertical="center"/>
      <protection/>
    </xf>
    <xf numFmtId="171" fontId="0" fillId="0" borderId="37" xfId="63" applyNumberFormat="1" applyFont="1" applyFill="1" applyBorder="1" applyAlignment="1" applyProtection="1">
      <alignment horizontal="center" vertical="center"/>
      <protection/>
    </xf>
    <xf numFmtId="171" fontId="8" fillId="0" borderId="37" xfId="63" applyNumberFormat="1" applyFont="1" applyFill="1" applyBorder="1" applyAlignment="1" applyProtection="1">
      <alignment horizontal="center" vertical="center"/>
      <protection/>
    </xf>
    <xf numFmtId="171" fontId="0" fillId="0" borderId="24" xfId="63" applyFont="1" applyFill="1" applyBorder="1" applyAlignment="1" applyProtection="1">
      <alignment horizontal="center" vertical="center"/>
      <protection/>
    </xf>
    <xf numFmtId="49" fontId="8" fillId="0" borderId="53" xfId="0" applyNumberFormat="1" applyFont="1" applyFill="1" applyBorder="1" applyAlignment="1">
      <alignment vertical="center"/>
    </xf>
    <xf numFmtId="49" fontId="8" fillId="0" borderId="53" xfId="0" applyNumberFormat="1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 indent="3"/>
    </xf>
    <xf numFmtId="0" fontId="3" fillId="0" borderId="72" xfId="0" applyFont="1" applyBorder="1" applyAlignment="1">
      <alignment horizontal="left" vertical="center" indent="2"/>
    </xf>
    <xf numFmtId="0" fontId="3" fillId="0" borderId="72" xfId="0" applyFont="1" applyBorder="1" applyAlignment="1">
      <alignment horizontal="left" vertical="center" indent="1"/>
    </xf>
    <xf numFmtId="49" fontId="4" fillId="0" borderId="72" xfId="0" applyNumberFormat="1" applyFont="1" applyBorder="1" applyAlignment="1">
      <alignment vertical="center"/>
    </xf>
    <xf numFmtId="49" fontId="3" fillId="0" borderId="72" xfId="0" applyNumberFormat="1" applyFont="1" applyBorder="1" applyAlignment="1">
      <alignment horizontal="left" vertical="center" indent="1"/>
    </xf>
    <xf numFmtId="49" fontId="3" fillId="0" borderId="72" xfId="0" applyNumberFormat="1" applyFont="1" applyBorder="1" applyAlignment="1">
      <alignment horizontal="left" vertical="center" indent="2"/>
    </xf>
    <xf numFmtId="49" fontId="4" fillId="0" borderId="74" xfId="0" applyNumberFormat="1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49" xfId="0" applyFont="1" applyFill="1" applyBorder="1" applyAlignment="1">
      <alignment/>
    </xf>
    <xf numFmtId="49" fontId="3" fillId="0" borderId="49" xfId="0" applyNumberFormat="1" applyFont="1" applyBorder="1" applyAlignment="1">
      <alignment horizontal="center"/>
    </xf>
    <xf numFmtId="0" fontId="3" fillId="0" borderId="72" xfId="0" applyFont="1" applyBorder="1" applyAlignment="1">
      <alignment horizontal="justify" vertical="center" wrapText="1"/>
    </xf>
    <xf numFmtId="171" fontId="4" fillId="0" borderId="69" xfId="63" applyFont="1" applyFill="1" applyBorder="1" applyAlignment="1" applyProtection="1">
      <alignment vertical="center" wrapText="1"/>
      <protection/>
    </xf>
    <xf numFmtId="171" fontId="3" fillId="0" borderId="69" xfId="63" applyFont="1" applyFill="1" applyBorder="1" applyAlignment="1" applyProtection="1">
      <alignment vertical="center" wrapText="1"/>
      <protection/>
    </xf>
    <xf numFmtId="37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171" fontId="3" fillId="0" borderId="69" xfId="63" applyFont="1" applyFill="1" applyBorder="1" applyAlignment="1">
      <alignment horizontal="right" vertical="center"/>
    </xf>
    <xf numFmtId="4" fontId="3" fillId="0" borderId="38" xfId="56" applyNumberFormat="1" applyFont="1" applyBorder="1" applyAlignment="1">
      <alignment vertical="center"/>
      <protection/>
    </xf>
    <xf numFmtId="3" fontId="3" fillId="0" borderId="41" xfId="55" applyNumberFormat="1" applyFont="1" applyFill="1" applyBorder="1" applyAlignment="1">
      <alignment horizontal="left" vertical="center" indent="1"/>
      <protection/>
    </xf>
    <xf numFmtId="0" fontId="4" fillId="0" borderId="41" xfId="55" applyFont="1" applyFill="1" applyBorder="1" applyAlignment="1">
      <alignment horizontal="left" vertical="center"/>
      <protection/>
    </xf>
    <xf numFmtId="49" fontId="0" fillId="0" borderId="53" xfId="0" applyNumberFormat="1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49" fontId="0" fillId="0" borderId="53" xfId="0" applyNumberFormat="1" applyFill="1" applyBorder="1" applyAlignment="1">
      <alignment horizontal="left" vertical="center" wrapText="1"/>
    </xf>
    <xf numFmtId="171" fontId="4" fillId="0" borderId="12" xfId="71" applyFont="1" applyFill="1" applyBorder="1" applyAlignment="1" applyProtection="1">
      <alignment horizontal="right" vertical="center"/>
      <protection/>
    </xf>
    <xf numFmtId="171" fontId="4" fillId="0" borderId="0" xfId="71" applyFont="1" applyFill="1" applyBorder="1" applyAlignment="1" applyProtection="1">
      <alignment horizontal="right" vertical="center"/>
      <protection/>
    </xf>
    <xf numFmtId="171" fontId="4" fillId="0" borderId="21" xfId="71" applyFont="1" applyFill="1" applyBorder="1" applyAlignment="1" applyProtection="1">
      <alignment horizontal="right" vertical="center"/>
      <protection/>
    </xf>
    <xf numFmtId="49" fontId="28" fillId="0" borderId="22" xfId="54" applyNumberFormat="1" applyFont="1" applyFill="1" applyBorder="1" applyAlignment="1">
      <alignment horizontal="center" vertical="center" wrapText="1"/>
      <protection/>
    </xf>
    <xf numFmtId="0" fontId="28" fillId="0" borderId="38" xfId="54" applyFont="1" applyBorder="1" applyAlignment="1">
      <alignment horizontal="center" vertical="center"/>
      <protection/>
    </xf>
    <xf numFmtId="3" fontId="28" fillId="0" borderId="38" xfId="54" applyNumberFormat="1" applyFont="1" applyFill="1" applyBorder="1" applyAlignment="1">
      <alignment horizontal="center" vertical="center"/>
      <protection/>
    </xf>
    <xf numFmtId="3" fontId="4" fillId="0" borderId="38" xfId="54" applyNumberFormat="1" applyFont="1" applyFill="1" applyBorder="1" applyAlignment="1">
      <alignment horizontal="left" vertical="center" wrapText="1"/>
      <protection/>
    </xf>
    <xf numFmtId="9" fontId="3" fillId="0" borderId="22" xfId="0" applyNumberFormat="1" applyFont="1" applyBorder="1" applyAlignment="1">
      <alignment horizontal="center" vertical="center"/>
    </xf>
    <xf numFmtId="49" fontId="20" fillId="0" borderId="53" xfId="0" applyNumberFormat="1" applyFont="1" applyFill="1" applyBorder="1" applyAlignment="1">
      <alignment horizontal="left" vertical="center" indent="1"/>
    </xf>
    <xf numFmtId="0" fontId="16" fillId="0" borderId="38" xfId="0" applyNumberFormat="1" applyFont="1" applyFill="1" applyBorder="1" applyAlignment="1">
      <alignment vertical="center"/>
    </xf>
    <xf numFmtId="171" fontId="16" fillId="0" borderId="38" xfId="84" applyFont="1" applyFill="1" applyBorder="1" applyAlignment="1" applyProtection="1">
      <alignment vertical="center"/>
      <protection/>
    </xf>
    <xf numFmtId="171" fontId="16" fillId="38" borderId="38" xfId="84" applyFont="1" applyFill="1" applyBorder="1" applyAlignment="1" applyProtection="1">
      <alignment vertical="center"/>
      <protection/>
    </xf>
    <xf numFmtId="171" fontId="16" fillId="0" borderId="22" xfId="84" applyFont="1" applyFill="1" applyBorder="1" applyAlignment="1" applyProtection="1">
      <alignment vertical="center"/>
      <protection/>
    </xf>
    <xf numFmtId="171" fontId="16" fillId="0" borderId="68" xfId="84" applyFont="1" applyFill="1" applyBorder="1" applyAlignment="1" applyProtection="1">
      <alignment vertical="center"/>
      <protection/>
    </xf>
    <xf numFmtId="171" fontId="16" fillId="0" borderId="75" xfId="84" applyFont="1" applyFill="1" applyBorder="1" applyAlignment="1" applyProtection="1">
      <alignment vertical="center"/>
      <protection/>
    </xf>
    <xf numFmtId="171" fontId="20" fillId="0" borderId="24" xfId="84" applyFont="1" applyFill="1" applyBorder="1" applyAlignment="1" applyProtection="1">
      <alignment horizontal="center" vertical="center"/>
      <protection/>
    </xf>
    <xf numFmtId="40" fontId="20" fillId="0" borderId="49" xfId="0" applyNumberFormat="1" applyFont="1" applyFill="1" applyBorder="1" applyAlignment="1">
      <alignment vertical="center"/>
    </xf>
    <xf numFmtId="171" fontId="3" fillId="0" borderId="38" xfId="73" applyFont="1" applyFill="1" applyBorder="1" applyAlignment="1" applyProtection="1">
      <alignment horizontal="center" vertical="center" wrapText="1"/>
      <protection/>
    </xf>
    <xf numFmtId="171" fontId="4" fillId="0" borderId="38" xfId="63" applyFont="1" applyBorder="1" applyAlignment="1">
      <alignment vertical="center"/>
    </xf>
    <xf numFmtId="171" fontId="0" fillId="0" borderId="19" xfId="63" applyFont="1" applyFill="1" applyBorder="1" applyAlignment="1">
      <alignment horizontal="right" vertical="center"/>
    </xf>
    <xf numFmtId="171" fontId="3" fillId="0" borderId="61" xfId="73" applyFont="1" applyFill="1" applyBorder="1" applyAlignment="1" applyProtection="1">
      <alignment horizontal="right" vertical="center"/>
      <protection/>
    </xf>
    <xf numFmtId="40" fontId="20" fillId="34" borderId="30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57" applyFont="1" applyFill="1" applyAlignment="1">
      <alignment horizontal="left" indent="7"/>
      <protection/>
    </xf>
    <xf numFmtId="0" fontId="4" fillId="0" borderId="0" xfId="57" applyFont="1" applyFill="1" applyBorder="1" applyAlignment="1">
      <alignment horizontal="left" indent="7"/>
      <protection/>
    </xf>
    <xf numFmtId="0" fontId="4" fillId="0" borderId="0" xfId="57" applyFont="1" applyFill="1" applyAlignment="1">
      <alignment horizontal="left" indent="7"/>
      <protection/>
    </xf>
    <xf numFmtId="170" fontId="3" fillId="0" borderId="38" xfId="75" applyNumberFormat="1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170" fontId="3" fillId="0" borderId="0" xfId="57" applyNumberFormat="1" applyFont="1" applyFill="1" applyBorder="1" applyAlignment="1">
      <alignment vertical="center"/>
      <protection/>
    </xf>
    <xf numFmtId="171" fontId="0" fillId="0" borderId="41" xfId="86" applyFill="1" applyBorder="1" applyAlignment="1">
      <alignment horizontal="right" vertical="center"/>
    </xf>
    <xf numFmtId="171" fontId="3" fillId="0" borderId="51" xfId="63" applyFont="1" applyFill="1" applyBorder="1" applyAlignment="1">
      <alignment vertical="center"/>
    </xf>
    <xf numFmtId="43" fontId="3" fillId="0" borderId="0" xfId="0" applyNumberFormat="1" applyFont="1" applyBorder="1" applyAlignment="1">
      <alignment/>
    </xf>
    <xf numFmtId="171" fontId="0" fillId="0" borderId="62" xfId="86" applyFill="1" applyBorder="1" applyAlignment="1">
      <alignment horizontal="right" vertical="center"/>
    </xf>
    <xf numFmtId="0" fontId="0" fillId="0" borderId="0" xfId="57" applyNumberFormat="1" applyFont="1" applyFill="1" applyBorder="1" applyAlignment="1">
      <alignment vertical="center"/>
      <protection/>
    </xf>
    <xf numFmtId="170" fontId="8" fillId="0" borderId="0" xfId="75" applyNumberFormat="1" applyFont="1" applyFill="1" applyBorder="1" applyAlignment="1">
      <alignment vertical="center"/>
    </xf>
    <xf numFmtId="171" fontId="20" fillId="34" borderId="24" xfId="86" applyFont="1" applyFill="1" applyBorder="1" applyAlignment="1">
      <alignment vertical="center"/>
    </xf>
    <xf numFmtId="43" fontId="3" fillId="0" borderId="0" xfId="0" applyNumberFormat="1" applyFont="1" applyFill="1" applyAlignment="1">
      <alignment/>
    </xf>
    <xf numFmtId="171" fontId="4" fillId="0" borderId="10" xfId="84" applyFont="1" applyFill="1" applyBorder="1" applyAlignment="1" applyProtection="1">
      <alignment horizontal="center"/>
      <protection/>
    </xf>
    <xf numFmtId="171" fontId="4" fillId="0" borderId="10" xfId="84" applyFont="1" applyFill="1" applyBorder="1" applyAlignment="1" applyProtection="1">
      <alignment vertical="center"/>
      <protection/>
    </xf>
    <xf numFmtId="171" fontId="4" fillId="34" borderId="25" xfId="84" applyFont="1" applyFill="1" applyBorder="1" applyAlignment="1" applyProtection="1">
      <alignment/>
      <protection/>
    </xf>
    <xf numFmtId="171" fontId="4" fillId="0" borderId="28" xfId="84" applyFont="1" applyFill="1" applyBorder="1" applyAlignment="1" applyProtection="1">
      <alignment vertical="center"/>
      <protection/>
    </xf>
    <xf numFmtId="171" fontId="4" fillId="0" borderId="55" xfId="84" applyFont="1" applyFill="1" applyBorder="1" applyAlignment="1" applyProtection="1">
      <alignment vertical="center"/>
      <protection/>
    </xf>
    <xf numFmtId="171" fontId="4" fillId="0" borderId="69" xfId="84" applyFont="1" applyFill="1" applyBorder="1" applyAlignment="1" applyProtection="1">
      <alignment horizontal="center" vertical="center" wrapText="1"/>
      <protection/>
    </xf>
    <xf numFmtId="171" fontId="4" fillId="0" borderId="37" xfId="84" applyFont="1" applyFill="1" applyBorder="1" applyAlignment="1" applyProtection="1">
      <alignment horizontal="left" vertical="center" wrapText="1"/>
      <protection/>
    </xf>
    <xf numFmtId="171" fontId="4" fillId="0" borderId="37" xfId="84" applyFont="1" applyFill="1" applyBorder="1" applyAlignment="1" applyProtection="1">
      <alignment horizontal="left" vertical="center"/>
      <protection/>
    </xf>
    <xf numFmtId="171" fontId="4" fillId="0" borderId="69" xfId="84" applyFont="1" applyFill="1" applyBorder="1" applyAlignment="1" applyProtection="1">
      <alignment horizontal="left" vertical="center"/>
      <protection/>
    </xf>
    <xf numFmtId="171" fontId="3" fillId="0" borderId="21" xfId="84" applyFont="1" applyFill="1" applyBorder="1" applyAlignment="1" applyProtection="1">
      <alignment horizontal="center" vertical="center"/>
      <protection/>
    </xf>
    <xf numFmtId="171" fontId="4" fillId="0" borderId="48" xfId="84" applyFont="1" applyFill="1" applyBorder="1" applyAlignment="1" applyProtection="1">
      <alignment horizontal="right" vertical="center"/>
      <protection/>
    </xf>
    <xf numFmtId="40" fontId="16" fillId="0" borderId="14" xfId="0" applyNumberFormat="1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center" vertical="center" wrapText="1"/>
    </xf>
    <xf numFmtId="171" fontId="3" fillId="0" borderId="37" xfId="84" applyFont="1" applyFill="1" applyBorder="1" applyAlignment="1" applyProtection="1">
      <alignment horizontal="left" vertical="center" wrapText="1"/>
      <protection/>
    </xf>
    <xf numFmtId="171" fontId="4" fillId="0" borderId="20" xfId="84" applyFont="1" applyFill="1" applyBorder="1" applyAlignment="1" applyProtection="1">
      <alignment horizontal="right" vertical="center"/>
      <protection/>
    </xf>
    <xf numFmtId="171" fontId="16" fillId="0" borderId="68" xfId="84" applyFont="1" applyFill="1" applyBorder="1" applyAlignment="1" applyProtection="1">
      <alignment horizontal="right" vertical="center"/>
      <protection/>
    </xf>
    <xf numFmtId="171" fontId="16" fillId="0" borderId="12" xfId="84" applyFont="1" applyFill="1" applyBorder="1" applyAlignment="1" applyProtection="1">
      <alignment horizontal="left" vertical="center"/>
      <protection/>
    </xf>
    <xf numFmtId="49" fontId="0" fillId="0" borderId="67" xfId="0" applyNumberFormat="1" applyFont="1" applyFill="1" applyBorder="1" applyAlignment="1">
      <alignment horizontal="left" vertical="center"/>
    </xf>
    <xf numFmtId="49" fontId="0" fillId="0" borderId="76" xfId="0" applyNumberFormat="1" applyFont="1" applyFill="1" applyBorder="1" applyAlignment="1">
      <alignment horizontal="left" vertical="center" wrapText="1"/>
    </xf>
    <xf numFmtId="171" fontId="4" fillId="0" borderId="36" xfId="84" applyFont="1" applyFill="1" applyBorder="1" applyAlignment="1" applyProtection="1">
      <alignment horizontal="left" vertical="center"/>
      <protection/>
    </xf>
    <xf numFmtId="171" fontId="16" fillId="0" borderId="77" xfId="84" applyFont="1" applyFill="1" applyBorder="1" applyAlignment="1" applyProtection="1">
      <alignment vertical="center"/>
      <protection/>
    </xf>
    <xf numFmtId="49" fontId="16" fillId="0" borderId="78" xfId="0" applyNumberFormat="1" applyFont="1" applyFill="1" applyBorder="1" applyAlignment="1">
      <alignment horizontal="left" vertical="center" wrapText="1"/>
    </xf>
    <xf numFmtId="171" fontId="16" fillId="0" borderId="65" xfId="84" applyFont="1" applyFill="1" applyBorder="1" applyAlignment="1" applyProtection="1">
      <alignment vertical="center"/>
      <protection/>
    </xf>
    <xf numFmtId="171" fontId="16" fillId="0" borderId="41" xfId="84" applyFont="1" applyFill="1" applyBorder="1" applyAlignment="1" applyProtection="1">
      <alignment vertical="center"/>
      <protection/>
    </xf>
    <xf numFmtId="171" fontId="20" fillId="39" borderId="32" xfId="84" applyFont="1" applyFill="1" applyBorder="1" applyAlignment="1" applyProtection="1">
      <alignment horizontal="left" vertical="center"/>
      <protection/>
    </xf>
    <xf numFmtId="171" fontId="16" fillId="39" borderId="32" xfId="84" applyFont="1" applyFill="1" applyBorder="1" applyAlignment="1" applyProtection="1">
      <alignment horizontal="left" vertical="center"/>
      <protection/>
    </xf>
    <xf numFmtId="171" fontId="4" fillId="39" borderId="50" xfId="84" applyFont="1" applyFill="1" applyBorder="1" applyAlignment="1" applyProtection="1">
      <alignment horizontal="left" vertical="center"/>
      <protection/>
    </xf>
    <xf numFmtId="171" fontId="20" fillId="39" borderId="0" xfId="84" applyFont="1" applyFill="1" applyBorder="1" applyAlignment="1" applyProtection="1">
      <alignment horizontal="left" vertical="center"/>
      <protection/>
    </xf>
    <xf numFmtId="171" fontId="16" fillId="39" borderId="0" xfId="84" applyFont="1" applyFill="1" applyBorder="1" applyAlignment="1" applyProtection="1">
      <alignment horizontal="left" vertical="center"/>
      <protection/>
    </xf>
    <xf numFmtId="171" fontId="4" fillId="39" borderId="21" xfId="84" applyFont="1" applyFill="1" applyBorder="1" applyAlignment="1" applyProtection="1">
      <alignment horizontal="left" vertical="center"/>
      <protection/>
    </xf>
    <xf numFmtId="171" fontId="16" fillId="39" borderId="30" xfId="84" applyFont="1" applyFill="1" applyBorder="1" applyAlignment="1" applyProtection="1">
      <alignment horizontal="left" vertical="center"/>
      <protection/>
    </xf>
    <xf numFmtId="171" fontId="16" fillId="39" borderId="52" xfId="84" applyFont="1" applyFill="1" applyBorder="1" applyAlignment="1" applyProtection="1">
      <alignment horizontal="left" vertical="center"/>
      <protection/>
    </xf>
    <xf numFmtId="171" fontId="3" fillId="0" borderId="11" xfId="86" applyFont="1" applyFill="1" applyBorder="1" applyAlignment="1" applyProtection="1">
      <alignment horizontal="center" vertical="center"/>
      <protection/>
    </xf>
    <xf numFmtId="171" fontId="3" fillId="0" borderId="0" xfId="63" applyFont="1" applyFill="1" applyBorder="1" applyAlignment="1" applyProtection="1">
      <alignment horizontal="center"/>
      <protection/>
    </xf>
    <xf numFmtId="49" fontId="8" fillId="0" borderId="4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1" fontId="4" fillId="0" borderId="37" xfId="84" applyFont="1" applyFill="1" applyBorder="1" applyAlignment="1" applyProtection="1">
      <alignment vertical="center"/>
      <protection/>
    </xf>
    <xf numFmtId="171" fontId="4" fillId="0" borderId="36" xfId="84" applyFont="1" applyFill="1" applyBorder="1" applyAlignment="1" applyProtection="1">
      <alignment horizontal="center"/>
      <protection/>
    </xf>
    <xf numFmtId="171" fontId="4" fillId="0" borderId="69" xfId="84" applyFont="1" applyFill="1" applyBorder="1" applyAlignment="1" applyProtection="1">
      <alignment/>
      <protection/>
    </xf>
    <xf numFmtId="171" fontId="4" fillId="0" borderId="79" xfId="84" applyFont="1" applyFill="1" applyBorder="1" applyAlignment="1" applyProtection="1">
      <alignment vertical="center"/>
      <protection/>
    </xf>
    <xf numFmtId="171" fontId="4" fillId="0" borderId="75" xfId="84" applyFont="1" applyFill="1" applyBorder="1" applyAlignment="1" applyProtection="1">
      <alignment vertical="center"/>
      <protection/>
    </xf>
    <xf numFmtId="40" fontId="20" fillId="0" borderId="42" xfId="0" applyNumberFormat="1" applyFont="1" applyFill="1" applyBorder="1" applyAlignment="1">
      <alignment vertical="center"/>
    </xf>
    <xf numFmtId="171" fontId="3" fillId="34" borderId="10" xfId="84" applyFont="1" applyFill="1" applyBorder="1" applyAlignment="1" applyProtection="1">
      <alignment vertical="center"/>
      <protection/>
    </xf>
    <xf numFmtId="43" fontId="0" fillId="34" borderId="0" xfId="0" applyNumberFormat="1" applyFont="1" applyFill="1" applyAlignment="1">
      <alignment/>
    </xf>
    <xf numFmtId="171" fontId="0" fillId="0" borderId="10" xfId="84" applyFill="1" applyBorder="1" applyAlignment="1">
      <alignment vertical="center"/>
    </xf>
    <xf numFmtId="171" fontId="0" fillId="0" borderId="11" xfId="84" applyFill="1" applyBorder="1" applyAlignment="1">
      <alignment vertical="center"/>
    </xf>
    <xf numFmtId="171" fontId="0" fillId="0" borderId="37" xfId="84" applyFill="1" applyBorder="1" applyAlignment="1">
      <alignment vertical="center"/>
    </xf>
    <xf numFmtId="4" fontId="0" fillId="0" borderId="0" xfId="56" applyNumberFormat="1" applyFont="1" applyFill="1">
      <alignment/>
      <protection/>
    </xf>
    <xf numFmtId="171" fontId="20" fillId="0" borderId="53" xfId="84" applyFont="1" applyFill="1" applyBorder="1" applyAlignment="1" applyProtection="1">
      <alignment horizontal="left" vertical="center"/>
      <protection/>
    </xf>
    <xf numFmtId="0" fontId="4" fillId="0" borderId="67" xfId="0" applyNumberFormat="1" applyFont="1" applyFill="1" applyBorder="1" applyAlignment="1">
      <alignment horizontal="left" vertical="center"/>
    </xf>
    <xf numFmtId="49" fontId="4" fillId="0" borderId="53" xfId="0" applyNumberFormat="1" applyFont="1" applyFill="1" applyBorder="1" applyAlignment="1">
      <alignment horizontal="left" vertical="center"/>
    </xf>
    <xf numFmtId="0" fontId="4" fillId="0" borderId="72" xfId="0" applyNumberFormat="1" applyFont="1" applyFill="1" applyBorder="1" applyAlignment="1">
      <alignment/>
    </xf>
    <xf numFmtId="0" fontId="4" fillId="0" borderId="67" xfId="0" applyNumberFormat="1" applyFont="1" applyFill="1" applyBorder="1" applyAlignment="1">
      <alignment vertical="center"/>
    </xf>
    <xf numFmtId="171" fontId="20" fillId="34" borderId="0" xfId="84" applyFont="1" applyFill="1" applyBorder="1" applyAlignment="1">
      <alignment vertical="center"/>
    </xf>
    <xf numFmtId="171" fontId="0" fillId="34" borderId="0" xfId="63" applyFont="1" applyFill="1" applyBorder="1" applyAlignment="1" applyProtection="1">
      <alignment horizontal="right" vertical="center"/>
      <protection/>
    </xf>
    <xf numFmtId="49" fontId="8" fillId="0" borderId="67" xfId="0" applyNumberFormat="1" applyFont="1" applyFill="1" applyBorder="1" applyAlignment="1">
      <alignment vertical="center"/>
    </xf>
    <xf numFmtId="171" fontId="8" fillId="0" borderId="12" xfId="63" applyFont="1" applyFill="1" applyBorder="1" applyAlignment="1" applyProtection="1">
      <alignment horizontal="right" vertical="center"/>
      <protection/>
    </xf>
    <xf numFmtId="171" fontId="8" fillId="0" borderId="20" xfId="63" applyFont="1" applyFill="1" applyBorder="1" applyAlignment="1" applyProtection="1">
      <alignment horizontal="right" vertical="center"/>
      <protection/>
    </xf>
    <xf numFmtId="171" fontId="8" fillId="0" borderId="36" xfId="63" applyFont="1" applyFill="1" applyBorder="1" applyAlignment="1" applyProtection="1">
      <alignment horizontal="right" vertical="center"/>
      <protection/>
    </xf>
    <xf numFmtId="171" fontId="8" fillId="0" borderId="20" xfId="63" applyFont="1" applyFill="1" applyBorder="1" applyAlignment="1" applyProtection="1">
      <alignment horizontal="center" vertical="center"/>
      <protection/>
    </xf>
    <xf numFmtId="49" fontId="0" fillId="0" borderId="38" xfId="0" applyNumberFormat="1" applyFont="1" applyFill="1" applyBorder="1" applyAlignment="1">
      <alignment vertical="center" wrapText="1"/>
    </xf>
    <xf numFmtId="171" fontId="0" fillId="0" borderId="38" xfId="63" applyFont="1" applyFill="1" applyBorder="1" applyAlignment="1" applyProtection="1">
      <alignment horizontal="right" vertical="center"/>
      <protection/>
    </xf>
    <xf numFmtId="171" fontId="0" fillId="0" borderId="38" xfId="63" applyFont="1" applyFill="1" applyBorder="1" applyAlignment="1" applyProtection="1">
      <alignment horizontal="center" vertical="center"/>
      <protection/>
    </xf>
    <xf numFmtId="49" fontId="8" fillId="0" borderId="38" xfId="0" applyNumberFormat="1" applyFont="1" applyFill="1" applyBorder="1" applyAlignment="1">
      <alignment vertical="center" wrapText="1"/>
    </xf>
    <xf numFmtId="171" fontId="0" fillId="34" borderId="38" xfId="86" applyFill="1" applyBorder="1" applyAlignment="1">
      <alignment horizontal="center" vertical="center" wrapText="1"/>
    </xf>
    <xf numFmtId="0" fontId="97" fillId="0" borderId="0" xfId="50" applyFont="1" applyAlignment="1">
      <alignment horizontal="center" readingOrder="2"/>
      <protection/>
    </xf>
    <xf numFmtId="0" fontId="98" fillId="0" borderId="0" xfId="50" applyFont="1" applyBorder="1" applyAlignment="1">
      <alignment horizontal="center" readingOrder="2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26" xfId="54" applyFont="1" applyFill="1" applyBorder="1" applyAlignment="1">
      <alignment horizontal="left" vertical="center"/>
      <protection/>
    </xf>
    <xf numFmtId="3" fontId="4" fillId="0" borderId="30" xfId="54" applyNumberFormat="1" applyFont="1" applyFill="1" applyBorder="1" applyAlignment="1">
      <alignment horizontal="left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0" borderId="62" xfId="57" applyFont="1" applyFill="1" applyBorder="1" applyAlignment="1">
      <alignment horizontal="center" vertical="center"/>
      <protection/>
    </xf>
    <xf numFmtId="171" fontId="20" fillId="0" borderId="0" xfId="74" applyNumberFormat="1" applyFont="1" applyFill="1" applyBorder="1" applyAlignment="1" applyProtection="1">
      <alignment vertical="center"/>
      <protection/>
    </xf>
    <xf numFmtId="0" fontId="8" fillId="0" borderId="49" xfId="57" applyFont="1" applyFill="1" applyBorder="1" applyAlignment="1">
      <alignment vertical="center" wrapText="1"/>
      <protection/>
    </xf>
    <xf numFmtId="0" fontId="8" fillId="0" borderId="0" xfId="57" applyFont="1" applyFill="1" applyBorder="1" applyAlignment="1">
      <alignment vertical="center" wrapText="1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8" fillId="0" borderId="0" xfId="57" applyNumberFormat="1" applyFont="1" applyFill="1" applyBorder="1" applyAlignment="1">
      <alignment horizontal="right" vertical="center"/>
      <protection/>
    </xf>
    <xf numFmtId="10" fontId="8" fillId="0" borderId="0" xfId="60" applyNumberFormat="1" applyFont="1" applyFill="1" applyBorder="1" applyAlignment="1">
      <alignment vertical="center"/>
    </xf>
    <xf numFmtId="0" fontId="0" fillId="0" borderId="0" xfId="5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171" fontId="0" fillId="0" borderId="38" xfId="86" applyFont="1" applyBorder="1" applyAlignment="1">
      <alignment vertical="center"/>
    </xf>
    <xf numFmtId="4" fontId="0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horizontal="right" vertical="center"/>
      <protection/>
    </xf>
    <xf numFmtId="10" fontId="0" fillId="0" borderId="0" xfId="60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4" fontId="8" fillId="38" borderId="38" xfId="57" applyNumberFormat="1" applyFont="1" applyFill="1" applyBorder="1" applyAlignment="1">
      <alignment horizontal="center" vertical="center" wrapText="1"/>
      <protection/>
    </xf>
    <xf numFmtId="4" fontId="8" fillId="38" borderId="62" xfId="57" applyNumberFormat="1" applyFont="1" applyFill="1" applyBorder="1" applyAlignment="1">
      <alignment horizontal="center" vertical="center"/>
      <protection/>
    </xf>
    <xf numFmtId="4" fontId="8" fillId="38" borderId="41" xfId="57" applyNumberFormat="1" applyFont="1" applyFill="1" applyBorder="1" applyAlignment="1">
      <alignment horizontal="center" vertical="center" wrapText="1"/>
      <protection/>
    </xf>
    <xf numFmtId="4" fontId="8" fillId="38" borderId="38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" fontId="8" fillId="0" borderId="38" xfId="57" applyNumberFormat="1" applyFont="1" applyFill="1" applyBorder="1" applyAlignment="1">
      <alignment vertical="center"/>
      <protection/>
    </xf>
    <xf numFmtId="2" fontId="8" fillId="0" borderId="38" xfId="60" applyNumberFormat="1" applyFont="1" applyFill="1" applyBorder="1" applyAlignment="1">
      <alignment vertical="center"/>
    </xf>
    <xf numFmtId="4" fontId="0" fillId="0" borderId="38" xfId="57" applyNumberFormat="1" applyFont="1" applyFill="1" applyBorder="1" applyAlignment="1">
      <alignment vertical="center"/>
      <protection/>
    </xf>
    <xf numFmtId="4" fontId="0" fillId="0" borderId="38" xfId="57" applyNumberFormat="1" applyFont="1" applyFill="1" applyBorder="1" applyAlignment="1">
      <alignment horizontal="right" vertical="center"/>
      <protection/>
    </xf>
    <xf numFmtId="171" fontId="0" fillId="0" borderId="38" xfId="86" applyFill="1" applyBorder="1" applyAlignment="1">
      <alignment horizontal="center" vertical="center"/>
    </xf>
    <xf numFmtId="171" fontId="0" fillId="34" borderId="38" xfId="86" applyFill="1" applyBorder="1" applyAlignment="1">
      <alignment vertical="center"/>
    </xf>
    <xf numFmtId="171" fontId="0" fillId="0" borderId="38" xfId="86" applyBorder="1" applyAlignment="1">
      <alignment vertical="center"/>
    </xf>
    <xf numFmtId="171" fontId="0" fillId="0" borderId="38" xfId="86" applyFill="1" applyBorder="1" applyAlignment="1">
      <alignment vertical="center"/>
    </xf>
    <xf numFmtId="171" fontId="0" fillId="0" borderId="38" xfId="86" applyFill="1" applyBorder="1" applyAlignment="1">
      <alignment horizontal="right" vertical="center"/>
    </xf>
    <xf numFmtId="2" fontId="8" fillId="0" borderId="38" xfId="60" applyNumberFormat="1" applyFont="1" applyFill="1" applyBorder="1" applyAlignment="1">
      <alignment horizontal="right" vertical="center"/>
    </xf>
    <xf numFmtId="4" fontId="8" fillId="0" borderId="38" xfId="57" applyNumberFormat="1" applyFont="1" applyFill="1" applyBorder="1" applyAlignment="1">
      <alignment horizontal="right" vertical="center"/>
      <protection/>
    </xf>
    <xf numFmtId="171" fontId="0" fillId="34" borderId="38" xfId="86" applyFill="1" applyBorder="1" applyAlignment="1">
      <alignment horizontal="right" vertical="center"/>
    </xf>
    <xf numFmtId="4" fontId="8" fillId="38" borderId="20" xfId="57" applyNumberFormat="1" applyFont="1" applyFill="1" applyBorder="1" applyAlignment="1">
      <alignment vertical="center"/>
      <protection/>
    </xf>
    <xf numFmtId="2" fontId="8" fillId="38" borderId="38" xfId="60" applyNumberFormat="1" applyFont="1" applyFill="1" applyBorder="1" applyAlignment="1">
      <alignment vertical="center"/>
    </xf>
    <xf numFmtId="171" fontId="0" fillId="38" borderId="20" xfId="86" applyFill="1" applyBorder="1" applyAlignment="1">
      <alignment vertical="center"/>
    </xf>
    <xf numFmtId="0" fontId="8" fillId="34" borderId="32" xfId="57" applyFont="1" applyFill="1" applyBorder="1" applyAlignment="1">
      <alignment horizontal="left" vertical="center" wrapText="1"/>
      <protection/>
    </xf>
    <xf numFmtId="4" fontId="8" fillId="34" borderId="32" xfId="57" applyNumberFormat="1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left" vertical="center" wrapText="1"/>
      <protection/>
    </xf>
    <xf numFmtId="4" fontId="8" fillId="34" borderId="0" xfId="57" applyNumberFormat="1" applyFont="1" applyFill="1" applyBorder="1" applyAlignment="1">
      <alignment vertical="center"/>
      <protection/>
    </xf>
    <xf numFmtId="10" fontId="8" fillId="34" borderId="0" xfId="6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4" fillId="38" borderId="0" xfId="0" applyFont="1" applyFill="1" applyAlignment="1">
      <alignment vertical="center"/>
    </xf>
    <xf numFmtId="49" fontId="8" fillId="38" borderId="22" xfId="57" applyNumberFormat="1" applyFont="1" applyFill="1" applyBorder="1" applyAlignment="1">
      <alignment horizontal="center" vertical="center" wrapText="1"/>
      <protection/>
    </xf>
    <xf numFmtId="171" fontId="0" fillId="34" borderId="62" xfId="86" applyFill="1" applyBorder="1" applyAlignment="1">
      <alignment vertical="center" wrapText="1"/>
    </xf>
    <xf numFmtId="171" fontId="0" fillId="34" borderId="38" xfId="86" applyFill="1" applyBorder="1" applyAlignment="1">
      <alignment vertical="center" wrapText="1"/>
    </xf>
    <xf numFmtId="49" fontId="8" fillId="38" borderId="38" xfId="57" applyNumberFormat="1" applyFont="1" applyFill="1" applyBorder="1" applyAlignment="1">
      <alignment vertical="center" wrapText="1"/>
      <protection/>
    </xf>
    <xf numFmtId="49" fontId="0" fillId="38" borderId="38" xfId="57" applyNumberFormat="1" applyFont="1" applyFill="1" applyBorder="1" applyAlignment="1">
      <alignment vertical="center" wrapText="1"/>
      <protection/>
    </xf>
    <xf numFmtId="49" fontId="8" fillId="34" borderId="38" xfId="57" applyNumberFormat="1" applyFont="1" applyFill="1" applyBorder="1" applyAlignment="1">
      <alignment horizontal="center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0" fillId="34" borderId="40" xfId="57" applyNumberFormat="1" applyFont="1" applyFill="1" applyBorder="1" applyAlignment="1">
      <alignment horizontal="center" vertical="center" wrapText="1"/>
      <protection/>
    </xf>
    <xf numFmtId="49" fontId="0" fillId="34" borderId="40" xfId="57" applyNumberFormat="1" applyFont="1" applyFill="1" applyBorder="1" applyAlignment="1">
      <alignment vertical="center" wrapText="1"/>
      <protection/>
    </xf>
    <xf numFmtId="49" fontId="0" fillId="34" borderId="62" xfId="57" applyNumberFormat="1" applyFont="1" applyFill="1" applyBorder="1" applyAlignment="1">
      <alignment horizontal="center" vertical="center" wrapText="1"/>
      <protection/>
    </xf>
    <xf numFmtId="43" fontId="0" fillId="38" borderId="38" xfId="0" applyNumberFormat="1" applyFont="1" applyFill="1" applyBorder="1" applyAlignment="1">
      <alignment vertical="center"/>
    </xf>
    <xf numFmtId="49" fontId="8" fillId="38" borderId="38" xfId="57" applyNumberFormat="1" applyFont="1" applyFill="1" applyBorder="1" applyAlignment="1">
      <alignment horizontal="center" vertical="center" wrapText="1"/>
      <protection/>
    </xf>
    <xf numFmtId="171" fontId="0" fillId="40" borderId="38" xfId="53" applyNumberFormat="1" applyFont="1" applyFill="1" applyBorder="1" applyAlignment="1">
      <alignment horizontal="center" vertical="center" wrapText="1"/>
      <protection/>
    </xf>
    <xf numFmtId="49" fontId="0" fillId="34" borderId="38" xfId="57" applyNumberFormat="1" applyFont="1" applyFill="1" applyBorder="1" applyAlignment="1">
      <alignment vertical="center" wrapText="1"/>
      <protection/>
    </xf>
    <xf numFmtId="49" fontId="0" fillId="34" borderId="38" xfId="57" applyNumberFormat="1" applyFont="1" applyFill="1" applyBorder="1" applyAlignment="1">
      <alignment horizontal="center" vertical="center" wrapText="1"/>
      <protection/>
    </xf>
    <xf numFmtId="43" fontId="0" fillId="40" borderId="38" xfId="53" applyNumberFormat="1" applyFont="1" applyFill="1" applyBorder="1" applyAlignment="1">
      <alignment vertical="center" wrapText="1"/>
      <protection/>
    </xf>
    <xf numFmtId="43" fontId="0" fillId="38" borderId="38" xfId="53" applyNumberFormat="1" applyFont="1" applyFill="1" applyBorder="1" applyAlignment="1">
      <alignment horizontal="center" vertical="center" wrapText="1"/>
      <protection/>
    </xf>
    <xf numFmtId="49" fontId="0" fillId="38" borderId="38" xfId="57" applyNumberFormat="1" applyFont="1" applyFill="1" applyBorder="1" applyAlignment="1">
      <alignment horizontal="center" vertical="center" wrapText="1"/>
      <protection/>
    </xf>
    <xf numFmtId="171" fontId="0" fillId="38" borderId="38" xfId="86" applyFill="1" applyBorder="1" applyAlignment="1">
      <alignment vertical="center"/>
    </xf>
    <xf numFmtId="0" fontId="0" fillId="40" borderId="51" xfId="53" applyFont="1" applyFill="1" applyBorder="1" applyAlignment="1">
      <alignment horizontal="left" vertical="center" wrapText="1"/>
      <protection/>
    </xf>
    <xf numFmtId="0" fontId="0" fillId="40" borderId="30" xfId="53" applyFont="1" applyFill="1" applyBorder="1" applyAlignment="1">
      <alignment horizontal="left" vertical="center" wrapText="1"/>
      <protection/>
    </xf>
    <xf numFmtId="0" fontId="0" fillId="40" borderId="0" xfId="53" applyFont="1" applyFill="1" applyBorder="1" applyAlignment="1">
      <alignment horizontal="left" vertical="center" wrapText="1"/>
      <protection/>
    </xf>
    <xf numFmtId="49" fontId="0" fillId="34" borderId="41" xfId="57" applyNumberFormat="1" applyFont="1" applyFill="1" applyBorder="1" applyAlignment="1">
      <alignment horizontal="center" vertical="center" wrapText="1"/>
      <protection/>
    </xf>
    <xf numFmtId="0" fontId="8" fillId="38" borderId="38" xfId="0" applyFont="1" applyFill="1" applyBorder="1" applyAlignment="1">
      <alignment horizontal="center" vertical="center"/>
    </xf>
    <xf numFmtId="2" fontId="8" fillId="0" borderId="38" xfId="0" applyNumberFormat="1" applyFont="1" applyBorder="1" applyAlignment="1">
      <alignment vertical="center"/>
    </xf>
    <xf numFmtId="43" fontId="8" fillId="34" borderId="32" xfId="57" applyNumberFormat="1" applyFont="1" applyFill="1" applyBorder="1" applyAlignment="1">
      <alignment horizontal="center" vertical="center" wrapText="1"/>
      <protection/>
    </xf>
    <xf numFmtId="0" fontId="8" fillId="34" borderId="32" xfId="57" applyFont="1" applyFill="1" applyBorder="1" applyAlignment="1">
      <alignment horizontal="center" vertical="center" wrapText="1"/>
      <protection/>
    </xf>
    <xf numFmtId="0" fontId="0" fillId="34" borderId="32" xfId="0" applyFont="1" applyFill="1" applyBorder="1" applyAlignment="1">
      <alignment vertical="center"/>
    </xf>
    <xf numFmtId="43" fontId="8" fillId="34" borderId="0" xfId="57" applyNumberFormat="1" applyFont="1" applyFill="1" applyBorder="1" applyAlignment="1">
      <alignment horizontal="center" vertical="center" wrapText="1"/>
      <protection/>
    </xf>
    <xf numFmtId="0" fontId="8" fillId="34" borderId="0" xfId="57" applyFont="1" applyFill="1" applyBorder="1" applyAlignment="1">
      <alignment horizontal="center" vertical="center" wrapText="1"/>
      <protection/>
    </xf>
    <xf numFmtId="0" fontId="0" fillId="34" borderId="0" xfId="0" applyFont="1" applyFill="1" applyBorder="1" applyAlignment="1">
      <alignment vertical="center"/>
    </xf>
    <xf numFmtId="0" fontId="8" fillId="34" borderId="38" xfId="57" applyFont="1" applyFill="1" applyBorder="1" applyAlignment="1">
      <alignment horizontal="center" vertical="center" wrapText="1"/>
      <protection/>
    </xf>
    <xf numFmtId="171" fontId="8" fillId="34" borderId="22" xfId="86" applyFont="1" applyFill="1" applyBorder="1" applyAlignment="1">
      <alignment horizontal="center" vertical="center" wrapText="1"/>
    </xf>
    <xf numFmtId="171" fontId="0" fillId="34" borderId="22" xfId="86" applyFill="1" applyBorder="1" applyAlignment="1">
      <alignment horizontal="center" vertical="center" wrapText="1"/>
    </xf>
    <xf numFmtId="171" fontId="0" fillId="34" borderId="62" xfId="86" applyFill="1" applyBorder="1" applyAlignment="1">
      <alignment horizontal="center" vertical="center" wrapText="1"/>
    </xf>
    <xf numFmtId="171" fontId="0" fillId="0" borderId="22" xfId="86" applyBorder="1" applyAlignment="1">
      <alignment horizontal="center" vertical="center" wrapText="1"/>
    </xf>
    <xf numFmtId="171" fontId="8" fillId="0" borderId="22" xfId="86" applyFont="1" applyBorder="1" applyAlignment="1">
      <alignment horizontal="center" vertical="center" wrapText="1"/>
    </xf>
    <xf numFmtId="171" fontId="0" fillId="0" borderId="62" xfId="86" applyFill="1" applyBorder="1" applyAlignment="1">
      <alignment horizontal="right" vertical="center" wrapText="1"/>
    </xf>
    <xf numFmtId="171" fontId="8" fillId="0" borderId="38" xfId="86" applyFont="1" applyFill="1" applyBorder="1" applyAlignment="1">
      <alignment vertical="center"/>
    </xf>
    <xf numFmtId="171" fontId="0" fillId="0" borderId="41" xfId="86" applyFill="1" applyBorder="1" applyAlignment="1">
      <alignment vertical="center"/>
    </xf>
    <xf numFmtId="170" fontId="8" fillId="38" borderId="20" xfId="57" applyNumberFormat="1" applyFont="1" applyFill="1" applyBorder="1" applyAlignment="1">
      <alignment horizontal="center" vertical="center"/>
      <protection/>
    </xf>
    <xf numFmtId="0" fontId="0" fillId="34" borderId="44" xfId="57" applyFont="1" applyFill="1" applyBorder="1" applyAlignment="1">
      <alignment horizontal="left" vertical="center" wrapText="1"/>
      <protection/>
    </xf>
    <xf numFmtId="0" fontId="0" fillId="34" borderId="32" xfId="57" applyFont="1" applyFill="1" applyBorder="1" applyAlignment="1">
      <alignment horizontal="left" vertical="center" wrapText="1"/>
      <protection/>
    </xf>
    <xf numFmtId="0" fontId="0" fillId="34" borderId="50" xfId="57" applyFont="1" applyFill="1" applyBorder="1" applyAlignment="1">
      <alignment horizontal="left" vertical="center" wrapText="1"/>
      <protection/>
    </xf>
    <xf numFmtId="170" fontId="0" fillId="0" borderId="20" xfId="57" applyNumberFormat="1" applyFont="1" applyFill="1" applyBorder="1" applyAlignment="1">
      <alignment vertical="center"/>
      <protection/>
    </xf>
    <xf numFmtId="39" fontId="0" fillId="0" borderId="41" xfId="57" applyNumberFormat="1" applyFont="1" applyFill="1" applyBorder="1" applyAlignment="1">
      <alignment vertical="center"/>
      <protection/>
    </xf>
    <xf numFmtId="39" fontId="0" fillId="0" borderId="62" xfId="57" applyNumberFormat="1" applyFont="1" applyFill="1" applyBorder="1" applyAlignment="1">
      <alignment vertical="center"/>
      <protection/>
    </xf>
    <xf numFmtId="170" fontId="0" fillId="0" borderId="41" xfId="57" applyNumberFormat="1" applyFont="1" applyFill="1" applyBorder="1" applyAlignment="1">
      <alignment vertical="center"/>
      <protection/>
    </xf>
    <xf numFmtId="171" fontId="0" fillId="0" borderId="44" xfId="63" applyFont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43" fontId="0" fillId="0" borderId="51" xfId="57" applyNumberFormat="1" applyFont="1" applyFill="1" applyBorder="1" applyAlignment="1">
      <alignment vertical="center"/>
      <protection/>
    </xf>
    <xf numFmtId="171" fontId="0" fillId="0" borderId="51" xfId="57" applyNumberFormat="1" applyFont="1" applyFill="1" applyBorder="1" applyAlignment="1">
      <alignment vertical="center"/>
      <protection/>
    </xf>
    <xf numFmtId="171" fontId="0" fillId="0" borderId="0" xfId="86" applyFont="1" applyAlignment="1">
      <alignment vertical="center"/>
    </xf>
    <xf numFmtId="171" fontId="0" fillId="0" borderId="51" xfId="63" applyFont="1" applyFill="1" applyBorder="1" applyAlignment="1">
      <alignment horizontal="right" vertical="center"/>
    </xf>
    <xf numFmtId="171" fontId="0" fillId="0" borderId="51" xfId="63" applyFont="1" applyFill="1" applyBorder="1" applyAlignment="1">
      <alignment vertical="center"/>
    </xf>
    <xf numFmtId="171" fontId="0" fillId="0" borderId="0" xfId="86" applyAlignment="1">
      <alignment vertical="center"/>
    </xf>
    <xf numFmtId="171" fontId="8" fillId="38" borderId="51" xfId="63" applyFont="1" applyFill="1" applyBorder="1" applyAlignment="1">
      <alignment vertical="center"/>
    </xf>
    <xf numFmtId="170" fontId="8" fillId="38" borderId="38" xfId="75" applyNumberFormat="1" applyFont="1" applyFill="1" applyBorder="1" applyAlignment="1">
      <alignment vertical="center"/>
    </xf>
    <xf numFmtId="170" fontId="4" fillId="38" borderId="38" xfId="75" applyNumberFormat="1" applyFont="1" applyFill="1" applyBorder="1" applyAlignment="1">
      <alignment vertical="center"/>
    </xf>
    <xf numFmtId="171" fontId="0" fillId="38" borderId="51" xfId="63" applyFont="1" applyFill="1" applyBorder="1" applyAlignment="1">
      <alignment vertical="center"/>
    </xf>
    <xf numFmtId="2" fontId="3" fillId="0" borderId="22" xfId="57" applyNumberFormat="1" applyFont="1" applyFill="1" applyBorder="1" applyAlignment="1">
      <alignment horizontal="center" vertical="center"/>
      <protection/>
    </xf>
    <xf numFmtId="0" fontId="3" fillId="34" borderId="38" xfId="0" applyFont="1" applyFill="1" applyBorder="1" applyAlignment="1">
      <alignment vertical="center"/>
    </xf>
    <xf numFmtId="171" fontId="8" fillId="38" borderId="41" xfId="57" applyNumberFormat="1" applyFont="1" applyFill="1" applyBorder="1" applyAlignment="1">
      <alignment vertical="center"/>
      <protection/>
    </xf>
    <xf numFmtId="171" fontId="0" fillId="0" borderId="0" xfId="86" applyAlignment="1">
      <alignment/>
    </xf>
    <xf numFmtId="40" fontId="3" fillId="0" borderId="0" xfId="57" applyNumberFormat="1" applyFont="1" applyFill="1" applyBorder="1" applyAlignment="1">
      <alignment vertical="center"/>
      <protection/>
    </xf>
    <xf numFmtId="0" fontId="3" fillId="34" borderId="0" xfId="0" applyFont="1" applyFill="1" applyAlignment="1">
      <alignment/>
    </xf>
    <xf numFmtId="171" fontId="100" fillId="34" borderId="62" xfId="86" applyFont="1" applyFill="1" applyBorder="1" applyAlignment="1">
      <alignment vertical="center" wrapText="1"/>
    </xf>
    <xf numFmtId="171" fontId="100" fillId="34" borderId="38" xfId="86" applyFont="1" applyFill="1" applyBorder="1" applyAlignment="1">
      <alignment vertical="center" wrapText="1"/>
    </xf>
    <xf numFmtId="171" fontId="0" fillId="0" borderId="20" xfId="86" applyBorder="1" applyAlignment="1">
      <alignment vertical="center"/>
    </xf>
    <xf numFmtId="4" fontId="0" fillId="0" borderId="20" xfId="57" applyNumberFormat="1" applyFont="1" applyFill="1" applyBorder="1" applyAlignment="1">
      <alignment horizontal="right" vertical="center"/>
      <protection/>
    </xf>
    <xf numFmtId="49" fontId="0" fillId="34" borderId="44" xfId="57" applyNumberFormat="1" applyFont="1" applyFill="1" applyBorder="1" applyAlignment="1">
      <alignment horizontal="left" vertical="center" wrapText="1"/>
      <protection/>
    </xf>
    <xf numFmtId="49" fontId="0" fillId="34" borderId="32" xfId="57" applyNumberFormat="1" applyFont="1" applyFill="1" applyBorder="1" applyAlignment="1">
      <alignment horizontal="left" vertical="center" wrapText="1"/>
      <protection/>
    </xf>
    <xf numFmtId="49" fontId="0" fillId="34" borderId="32" xfId="57" applyNumberFormat="1" applyFont="1" applyFill="1" applyBorder="1" applyAlignment="1">
      <alignment horizontal="center" vertical="center" wrapText="1"/>
      <protection/>
    </xf>
    <xf numFmtId="49" fontId="0" fillId="34" borderId="32" xfId="57" applyNumberFormat="1" applyFont="1" applyFill="1" applyBorder="1" applyAlignment="1">
      <alignment vertical="center" wrapText="1"/>
      <protection/>
    </xf>
    <xf numFmtId="0" fontId="0" fillId="0" borderId="40" xfId="0" applyFont="1" applyBorder="1" applyAlignment="1">
      <alignment vertical="center"/>
    </xf>
    <xf numFmtId="0" fontId="4" fillId="0" borderId="38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4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3" fontId="4" fillId="0" borderId="51" xfId="55" applyNumberFormat="1" applyFont="1" applyFill="1" applyBorder="1" applyAlignment="1">
      <alignment horizontal="left" vertical="center" wrapText="1" indent="1"/>
      <protection/>
    </xf>
    <xf numFmtId="171" fontId="4" fillId="0" borderId="29" xfId="72" applyFont="1" applyFill="1" applyBorder="1" applyAlignment="1" applyProtection="1">
      <alignment horizontal="right" vertical="center" wrapText="1"/>
      <protection/>
    </xf>
    <xf numFmtId="171" fontId="4" fillId="0" borderId="59" xfId="72" applyFont="1" applyFill="1" applyBorder="1" applyAlignment="1" applyProtection="1">
      <alignment horizontal="right" vertical="center"/>
      <protection/>
    </xf>
    <xf numFmtId="0" fontId="4" fillId="0" borderId="30" xfId="55" applyFont="1" applyFill="1" applyBorder="1" applyAlignment="1">
      <alignment horizontal="center" vertical="center"/>
      <protection/>
    </xf>
    <xf numFmtId="0" fontId="4" fillId="0" borderId="75" xfId="55" applyFont="1" applyBorder="1" applyAlignment="1">
      <alignment horizontal="center" vertical="center"/>
      <protection/>
    </xf>
    <xf numFmtId="0" fontId="4" fillId="0" borderId="30" xfId="55" applyFont="1" applyBorder="1" applyAlignment="1">
      <alignment horizontal="center" vertical="center"/>
      <protection/>
    </xf>
    <xf numFmtId="0" fontId="4" fillId="0" borderId="78" xfId="55" applyFont="1" applyBorder="1" applyAlignment="1">
      <alignment horizontal="center" vertical="center"/>
      <protection/>
    </xf>
    <xf numFmtId="3" fontId="4" fillId="0" borderId="41" xfId="55" applyNumberFormat="1" applyFont="1" applyFill="1" applyBorder="1" applyAlignment="1">
      <alignment horizontal="left" vertical="center" wrapText="1" indent="1"/>
      <protection/>
    </xf>
    <xf numFmtId="3" fontId="4" fillId="0" borderId="38" xfId="55" applyNumberFormat="1" applyFont="1" applyFill="1" applyBorder="1" applyAlignment="1">
      <alignment horizontal="left" vertical="center"/>
      <protection/>
    </xf>
    <xf numFmtId="171" fontId="3" fillId="0" borderId="38" xfId="72" applyFont="1" applyFill="1" applyBorder="1" applyAlignment="1" applyProtection="1">
      <alignment horizontal="right" vertical="center" wrapText="1"/>
      <protection/>
    </xf>
    <xf numFmtId="171" fontId="3" fillId="0" borderId="38" xfId="72" applyFont="1" applyFill="1" applyBorder="1" applyAlignment="1" applyProtection="1">
      <alignment horizontal="right" vertical="center"/>
      <protection/>
    </xf>
    <xf numFmtId="43" fontId="3" fillId="0" borderId="38" xfId="55" applyNumberFormat="1" applyFont="1" applyBorder="1" applyAlignment="1">
      <alignment horizontal="center" vertical="center"/>
      <protection/>
    </xf>
    <xf numFmtId="0" fontId="4" fillId="34" borderId="54" xfId="0" applyFont="1" applyFill="1" applyBorder="1" applyAlignment="1">
      <alignment horizontal="center" vertical="center"/>
    </xf>
    <xf numFmtId="0" fontId="31" fillId="34" borderId="80" xfId="0" applyFont="1" applyFill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 indent="2"/>
    </xf>
    <xf numFmtId="49" fontId="4" fillId="0" borderId="72" xfId="0" applyNumberFormat="1" applyFont="1" applyBorder="1" applyAlignment="1">
      <alignment vertical="center" wrapText="1"/>
    </xf>
    <xf numFmtId="0" fontId="101" fillId="39" borderId="0" xfId="0" applyFont="1" applyFill="1" applyAlignment="1">
      <alignment/>
    </xf>
    <xf numFmtId="49" fontId="4" fillId="0" borderId="72" xfId="0" applyNumberFormat="1" applyFont="1" applyBorder="1" applyAlignment="1">
      <alignment horizontal="left" vertical="center" wrapText="1" indent="1"/>
    </xf>
    <xf numFmtId="171" fontId="3" fillId="39" borderId="25" xfId="63" applyFont="1" applyFill="1" applyBorder="1" applyAlignment="1" applyProtection="1">
      <alignment vertical="center" wrapText="1"/>
      <protection/>
    </xf>
    <xf numFmtId="49" fontId="3" fillId="0" borderId="74" xfId="0" applyNumberFormat="1" applyFont="1" applyBorder="1" applyAlignment="1">
      <alignment vertical="center"/>
    </xf>
    <xf numFmtId="49" fontId="4" fillId="0" borderId="72" xfId="0" applyNumberFormat="1" applyFont="1" applyBorder="1" applyAlignment="1">
      <alignment horizontal="left" vertical="center" wrapText="1"/>
    </xf>
    <xf numFmtId="171" fontId="4" fillId="0" borderId="40" xfId="63" applyFont="1" applyFill="1" applyBorder="1" applyAlignment="1" applyProtection="1">
      <alignment horizontal="center" vertical="top" wrapText="1"/>
      <protection/>
    </xf>
    <xf numFmtId="0" fontId="3" fillId="0" borderId="38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justify" vertical="top" wrapText="1"/>
    </xf>
    <xf numFmtId="171" fontId="4" fillId="0" borderId="15" xfId="63" applyFont="1" applyFill="1" applyBorder="1" applyAlignment="1" applyProtection="1">
      <alignment vertical="center" wrapText="1"/>
      <protection/>
    </xf>
    <xf numFmtId="171" fontId="4" fillId="0" borderId="66" xfId="63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center" wrapText="1"/>
    </xf>
    <xf numFmtId="171" fontId="102" fillId="39" borderId="25" xfId="63" applyFont="1" applyFill="1" applyBorder="1" applyAlignment="1" applyProtection="1">
      <alignment vertical="center" wrapText="1"/>
      <protection/>
    </xf>
    <xf numFmtId="171" fontId="102" fillId="39" borderId="69" xfId="63" applyFont="1" applyFill="1" applyBorder="1" applyAlignment="1" applyProtection="1">
      <alignment vertical="center" wrapText="1"/>
      <protection/>
    </xf>
    <xf numFmtId="171" fontId="3" fillId="39" borderId="69" xfId="63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39" fontId="3" fillId="0" borderId="0" xfId="0" applyNumberFormat="1" applyFont="1" applyFill="1" applyBorder="1" applyAlignment="1">
      <alignment horizontal="center" vertical="center" wrapText="1"/>
    </xf>
    <xf numFmtId="39" fontId="3" fillId="0" borderId="21" xfId="0" applyNumberFormat="1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wrapText="1"/>
    </xf>
    <xf numFmtId="49" fontId="4" fillId="39" borderId="72" xfId="0" applyNumberFormat="1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top" wrapText="1"/>
    </xf>
    <xf numFmtId="171" fontId="4" fillId="0" borderId="38" xfId="63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left" vertical="top"/>
    </xf>
    <xf numFmtId="171" fontId="4" fillId="0" borderId="0" xfId="63" applyFont="1" applyFill="1" applyBorder="1" applyAlignment="1" applyProtection="1">
      <alignment horizontal="center" vertical="top" wrapText="1"/>
      <protection/>
    </xf>
    <xf numFmtId="171" fontId="4" fillId="34" borderId="0" xfId="63" applyFont="1" applyFill="1" applyBorder="1" applyAlignment="1" applyProtection="1">
      <alignment horizontal="center" vertical="top" wrapText="1"/>
      <protection/>
    </xf>
    <xf numFmtId="49" fontId="3" fillId="0" borderId="67" xfId="0" applyNumberFormat="1" applyFont="1" applyBorder="1" applyAlignment="1">
      <alignment horizontal="left" vertical="center" indent="1"/>
    </xf>
    <xf numFmtId="171" fontId="3" fillId="0" borderId="13" xfId="63" applyFont="1" applyFill="1" applyBorder="1" applyAlignment="1" applyProtection="1">
      <alignment vertical="center" wrapText="1"/>
      <protection/>
    </xf>
    <xf numFmtId="171" fontId="3" fillId="0" borderId="36" xfId="63" applyFont="1" applyFill="1" applyBorder="1" applyAlignment="1" applyProtection="1">
      <alignment vertical="center" wrapText="1"/>
      <protection/>
    </xf>
    <xf numFmtId="0" fontId="3" fillId="0" borderId="72" xfId="0" applyFont="1" applyBorder="1" applyAlignment="1">
      <alignment vertical="center"/>
    </xf>
    <xf numFmtId="0" fontId="4" fillId="0" borderId="38" xfId="0" applyFont="1" applyBorder="1" applyAlignment="1">
      <alignment horizontal="left" vertical="top"/>
    </xf>
    <xf numFmtId="0" fontId="4" fillId="39" borderId="38" xfId="0" applyFont="1" applyFill="1" applyBorder="1" applyAlignment="1">
      <alignment horizontal="left" vertical="top"/>
    </xf>
    <xf numFmtId="0" fontId="4" fillId="39" borderId="44" xfId="0" applyFont="1" applyFill="1" applyBorder="1" applyAlignment="1">
      <alignment horizontal="center" wrapText="1"/>
    </xf>
    <xf numFmtId="0" fontId="4" fillId="39" borderId="20" xfId="0" applyFont="1" applyFill="1" applyBorder="1" applyAlignment="1">
      <alignment horizontal="center" wrapText="1"/>
    </xf>
    <xf numFmtId="0" fontId="4" fillId="39" borderId="49" xfId="0" applyFont="1" applyFill="1" applyBorder="1" applyAlignment="1">
      <alignment vertical="center" wrapText="1"/>
    </xf>
    <xf numFmtId="0" fontId="4" fillId="39" borderId="24" xfId="0" applyFont="1" applyFill="1" applyBorder="1" applyAlignment="1">
      <alignment vertical="center" wrapText="1"/>
    </xf>
    <xf numFmtId="0" fontId="4" fillId="39" borderId="71" xfId="0" applyFont="1" applyFill="1" applyBorder="1" applyAlignment="1">
      <alignment horizontal="center" vertical="top" wrapText="1"/>
    </xf>
    <xf numFmtId="0" fontId="3" fillId="39" borderId="0" xfId="0" applyFont="1" applyFill="1" applyAlignment="1">
      <alignment/>
    </xf>
    <xf numFmtId="0" fontId="4" fillId="34" borderId="0" xfId="0" applyFont="1" applyFill="1" applyBorder="1" applyAlignment="1">
      <alignment horizontal="left" vertical="top"/>
    </xf>
    <xf numFmtId="0" fontId="4" fillId="39" borderId="49" xfId="0" applyFont="1" applyFill="1" applyBorder="1" applyAlignment="1">
      <alignment horizontal="center" wrapText="1"/>
    </xf>
    <xf numFmtId="0" fontId="4" fillId="39" borderId="24" xfId="0" applyFont="1" applyFill="1" applyBorder="1" applyAlignment="1">
      <alignment horizontal="center" wrapText="1"/>
    </xf>
    <xf numFmtId="0" fontId="4" fillId="39" borderId="38" xfId="0" applyFont="1" applyFill="1" applyBorder="1" applyAlignment="1">
      <alignment horizontal="left" vertical="top" wrapText="1"/>
    </xf>
    <xf numFmtId="171" fontId="3" fillId="0" borderId="15" xfId="63" applyFont="1" applyFill="1" applyBorder="1" applyAlignment="1" applyProtection="1">
      <alignment vertical="center" wrapText="1"/>
      <protection/>
    </xf>
    <xf numFmtId="49" fontId="3" fillId="0" borderId="72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vertical="center"/>
    </xf>
    <xf numFmtId="171" fontId="4" fillId="39" borderId="38" xfId="63" applyFont="1" applyFill="1" applyBorder="1" applyAlignment="1" applyProtection="1">
      <alignment horizontal="center" vertical="center" wrapText="1"/>
      <protection/>
    </xf>
    <xf numFmtId="0" fontId="4" fillId="39" borderId="38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indent="1"/>
    </xf>
    <xf numFmtId="174" fontId="0" fillId="0" borderId="0" xfId="0" applyNumberFormat="1" applyFont="1" applyBorder="1" applyAlignment="1">
      <alignment horizontal="left" vertical="center"/>
    </xf>
    <xf numFmtId="173" fontId="0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>
      <alignment vertical="center"/>
    </xf>
    <xf numFmtId="171" fontId="103" fillId="39" borderId="38" xfId="84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 wrapText="1"/>
    </xf>
    <xf numFmtId="171" fontId="3" fillId="34" borderId="0" xfId="63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left" vertical="top"/>
    </xf>
    <xf numFmtId="0" fontId="4" fillId="0" borderId="45" xfId="0" applyFont="1" applyFill="1" applyBorder="1" applyAlignment="1">
      <alignment horizontal="center" vertical="top" wrapText="1"/>
    </xf>
    <xf numFmtId="0" fontId="4" fillId="0" borderId="7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left" vertical="center" indent="1"/>
    </xf>
    <xf numFmtId="49" fontId="3" fillId="0" borderId="49" xfId="0" applyNumberFormat="1" applyFont="1" applyFill="1" applyBorder="1" applyAlignment="1">
      <alignment horizontal="left" vertical="center" indent="2"/>
    </xf>
    <xf numFmtId="171" fontId="3" fillId="39" borderId="10" xfId="71" applyFont="1" applyFill="1" applyBorder="1" applyAlignment="1" applyProtection="1">
      <alignment horizontal="center" vertical="center" wrapText="1"/>
      <protection/>
    </xf>
    <xf numFmtId="171" fontId="3" fillId="39" borderId="10" xfId="71" applyFont="1" applyFill="1" applyBorder="1" applyAlignment="1" applyProtection="1">
      <alignment horizontal="right" vertical="center" wrapText="1"/>
      <protection/>
    </xf>
    <xf numFmtId="171" fontId="3" fillId="39" borderId="66" xfId="71" applyFont="1" applyFill="1" applyBorder="1" applyAlignment="1" applyProtection="1">
      <alignment horizontal="right" vertical="center"/>
      <protection/>
    </xf>
    <xf numFmtId="0" fontId="3" fillId="39" borderId="21" xfId="54" applyFont="1" applyFill="1" applyBorder="1" applyAlignment="1">
      <alignment horizontal="center" vertical="center"/>
      <protection/>
    </xf>
    <xf numFmtId="0" fontId="3" fillId="39" borderId="0" xfId="54" applyFont="1" applyFill="1" applyBorder="1" applyAlignment="1">
      <alignment horizontal="center" vertical="center"/>
      <protection/>
    </xf>
    <xf numFmtId="171" fontId="3" fillId="39" borderId="11" xfId="72" applyFont="1" applyFill="1" applyBorder="1" applyAlignment="1" applyProtection="1">
      <alignment horizontal="right" vertical="center"/>
      <protection/>
    </xf>
    <xf numFmtId="171" fontId="3" fillId="39" borderId="37" xfId="72" applyFont="1" applyFill="1" applyBorder="1" applyAlignment="1" applyProtection="1">
      <alignment horizontal="right" vertical="center"/>
      <protection/>
    </xf>
    <xf numFmtId="49" fontId="0" fillId="0" borderId="53" xfId="0" applyNumberFormat="1" applyFont="1" applyFill="1" applyBorder="1" applyAlignment="1">
      <alignment horizontal="left" vertical="center"/>
    </xf>
    <xf numFmtId="171" fontId="0" fillId="34" borderId="37" xfId="63" applyFont="1" applyFill="1" applyBorder="1" applyAlignment="1" applyProtection="1">
      <alignment horizontal="center" vertical="center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171" fontId="7" fillId="0" borderId="14" xfId="73" applyFont="1" applyFill="1" applyBorder="1" applyAlignment="1" applyProtection="1">
      <alignment horizontal="center" vertical="center" wrapText="1"/>
      <protection/>
    </xf>
    <xf numFmtId="0" fontId="3" fillId="0" borderId="72" xfId="56" applyFont="1" applyFill="1" applyBorder="1" applyAlignment="1">
      <alignment vertical="center"/>
      <protection/>
    </xf>
    <xf numFmtId="171" fontId="3" fillId="0" borderId="72" xfId="73" applyFont="1" applyFill="1" applyBorder="1" applyAlignment="1" applyProtection="1">
      <alignment vertical="center"/>
      <protection/>
    </xf>
    <xf numFmtId="171" fontId="3" fillId="0" borderId="74" xfId="73" applyFont="1" applyFill="1" applyBorder="1" applyAlignment="1" applyProtection="1">
      <alignment vertical="center"/>
      <protection/>
    </xf>
    <xf numFmtId="0" fontId="4" fillId="0" borderId="72" xfId="56" applyFont="1" applyFill="1" applyBorder="1" applyAlignment="1">
      <alignment horizontal="left" vertical="center"/>
      <protection/>
    </xf>
    <xf numFmtId="171" fontId="4" fillId="0" borderId="74" xfId="73" applyFont="1" applyFill="1" applyBorder="1" applyAlignment="1" applyProtection="1">
      <alignment vertical="center"/>
      <protection/>
    </xf>
    <xf numFmtId="171" fontId="4" fillId="0" borderId="18" xfId="73" applyFont="1" applyFill="1" applyBorder="1" applyAlignment="1" applyProtection="1">
      <alignment horizontal="right" vertical="center"/>
      <protection/>
    </xf>
    <xf numFmtId="171" fontId="4" fillId="0" borderId="62" xfId="84" applyFont="1" applyFill="1" applyBorder="1" applyAlignment="1" applyProtection="1">
      <alignment vertical="center"/>
      <protection/>
    </xf>
    <xf numFmtId="171" fontId="4" fillId="0" borderId="73" xfId="84" applyFont="1" applyFill="1" applyBorder="1" applyAlignment="1" applyProtection="1">
      <alignment vertical="center"/>
      <protection/>
    </xf>
    <xf numFmtId="40" fontId="20" fillId="0" borderId="24" xfId="0" applyNumberFormat="1" applyFont="1" applyFill="1" applyBorder="1" applyAlignment="1">
      <alignment horizontal="right" vertical="center"/>
    </xf>
    <xf numFmtId="40" fontId="20" fillId="0" borderId="22" xfId="0" applyNumberFormat="1" applyFont="1" applyFill="1" applyBorder="1" applyAlignment="1">
      <alignment horizontal="right" vertical="center"/>
    </xf>
    <xf numFmtId="171" fontId="8" fillId="34" borderId="68" xfId="63" applyFont="1" applyFill="1" applyBorder="1" applyAlignment="1" applyProtection="1">
      <alignment horizontal="right" vertical="center"/>
      <protection/>
    </xf>
    <xf numFmtId="171" fontId="8" fillId="0" borderId="0" xfId="0" applyNumberFormat="1" applyFont="1" applyFill="1" applyAlignment="1">
      <alignment/>
    </xf>
    <xf numFmtId="17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1" fontId="27" fillId="0" borderId="11" xfId="63" applyFont="1" applyFill="1" applyBorder="1" applyAlignment="1" applyProtection="1">
      <alignment horizontal="center" vertical="center"/>
      <protection/>
    </xf>
    <xf numFmtId="171" fontId="3" fillId="34" borderId="24" xfId="84" applyFont="1" applyFill="1" applyBorder="1" applyAlignment="1">
      <alignment vertical="center"/>
    </xf>
    <xf numFmtId="171" fontId="4" fillId="0" borderId="25" xfId="84" applyFont="1" applyFill="1" applyBorder="1" applyAlignment="1" applyProtection="1">
      <alignment/>
      <protection/>
    </xf>
    <xf numFmtId="171" fontId="4" fillId="0" borderId="14" xfId="84" applyFont="1" applyFill="1" applyBorder="1" applyAlignment="1" applyProtection="1">
      <alignment vertical="center"/>
      <protection/>
    </xf>
    <xf numFmtId="171" fontId="4" fillId="0" borderId="11" xfId="84" applyFont="1" applyFill="1" applyBorder="1" applyAlignment="1" applyProtection="1">
      <alignment vertical="center"/>
      <protection/>
    </xf>
    <xf numFmtId="171" fontId="4" fillId="0" borderId="81" xfId="84" applyFont="1" applyFill="1" applyBorder="1" applyAlignment="1" applyProtection="1">
      <alignment vertical="center"/>
      <protection/>
    </xf>
    <xf numFmtId="2" fontId="8" fillId="38" borderId="20" xfId="60" applyNumberFormat="1" applyFont="1" applyFill="1" applyBorder="1" applyAlignment="1">
      <alignment vertical="center"/>
    </xf>
    <xf numFmtId="2" fontId="8" fillId="34" borderId="32" xfId="60" applyNumberFormat="1" applyFont="1" applyFill="1" applyBorder="1" applyAlignment="1">
      <alignment vertical="center"/>
    </xf>
    <xf numFmtId="171" fontId="0" fillId="34" borderId="32" xfId="86" applyFill="1" applyBorder="1" applyAlignment="1">
      <alignment vertical="center"/>
    </xf>
    <xf numFmtId="2" fontId="8" fillId="34" borderId="0" xfId="60" applyNumberFormat="1" applyFont="1" applyFill="1" applyBorder="1" applyAlignment="1">
      <alignment vertical="center"/>
    </xf>
    <xf numFmtId="171" fontId="0" fillId="34" borderId="0" xfId="86" applyFill="1" applyBorder="1" applyAlignment="1">
      <alignment vertical="center"/>
    </xf>
    <xf numFmtId="171" fontId="8" fillId="0" borderId="14" xfId="73" applyFont="1" applyFill="1" applyBorder="1" applyAlignment="1" applyProtection="1">
      <alignment horizontal="center" vertical="center" wrapText="1"/>
      <protection/>
    </xf>
    <xf numFmtId="171" fontId="0" fillId="0" borderId="41" xfId="63" applyFont="1" applyBorder="1" applyAlignment="1">
      <alignment vertical="center"/>
    </xf>
    <xf numFmtId="171" fontId="0" fillId="0" borderId="38" xfId="63" applyFont="1" applyBorder="1" applyAlignment="1">
      <alignment vertical="center"/>
    </xf>
    <xf numFmtId="4" fontId="0" fillId="0" borderId="40" xfId="56" applyNumberFormat="1" applyFont="1" applyBorder="1" applyAlignment="1">
      <alignment vertical="center"/>
      <protection/>
    </xf>
    <xf numFmtId="4" fontId="0" fillId="0" borderId="41" xfId="56" applyNumberFormat="1" applyFont="1" applyBorder="1" applyAlignment="1">
      <alignment vertical="center"/>
      <protection/>
    </xf>
    <xf numFmtId="171" fontId="8" fillId="0" borderId="38" xfId="63" applyFont="1" applyBorder="1" applyAlignment="1">
      <alignment vertical="center"/>
    </xf>
    <xf numFmtId="171" fontId="8" fillId="0" borderId="41" xfId="63" applyFont="1" applyBorder="1" applyAlignment="1">
      <alignment vertical="center"/>
    </xf>
    <xf numFmtId="171" fontId="4" fillId="0" borderId="69" xfId="63" applyFont="1" applyFill="1" applyBorder="1" applyAlignment="1">
      <alignment horizontal="right" vertical="center"/>
    </xf>
    <xf numFmtId="0" fontId="3" fillId="0" borderId="24" xfId="0" applyFont="1" applyBorder="1" applyAlignment="1">
      <alignment horizontal="left" vertical="center" wrapText="1"/>
    </xf>
    <xf numFmtId="0" fontId="20" fillId="0" borderId="0" xfId="50" applyFont="1" applyFill="1" applyBorder="1" applyAlignment="1">
      <alignment horizontal="left" indent="7"/>
      <protection/>
    </xf>
    <xf numFmtId="0" fontId="20" fillId="0" borderId="0" xfId="50" applyFont="1" applyFill="1" applyBorder="1">
      <alignment/>
      <protection/>
    </xf>
    <xf numFmtId="0" fontId="16" fillId="0" borderId="0" xfId="50" applyFont="1" applyFill="1" applyBorder="1" applyAlignment="1">
      <alignment horizontal="left" indent="7"/>
      <protection/>
    </xf>
    <xf numFmtId="0" fontId="16" fillId="0" borderId="0" xfId="50" applyFont="1" applyFill="1" applyBorder="1" applyAlignment="1">
      <alignment/>
      <protection/>
    </xf>
    <xf numFmtId="2" fontId="20" fillId="0" borderId="0" xfId="50" applyNumberFormat="1" applyFont="1" applyFill="1" applyBorder="1" applyAlignment="1">
      <alignment/>
      <protection/>
    </xf>
    <xf numFmtId="0" fontId="20" fillId="0" borderId="0" xfId="50" applyFont="1" applyFill="1" applyBorder="1" applyAlignment="1">
      <alignment/>
      <protection/>
    </xf>
    <xf numFmtId="43" fontId="20" fillId="0" borderId="0" xfId="50" applyNumberFormat="1" applyFont="1" applyFill="1" applyBorder="1" applyAlignment="1">
      <alignment/>
      <protection/>
    </xf>
    <xf numFmtId="0" fontId="20" fillId="0" borderId="0" xfId="50" applyNumberFormat="1" applyFont="1" applyFill="1" applyBorder="1">
      <alignment/>
      <protection/>
    </xf>
    <xf numFmtId="0" fontId="16" fillId="0" borderId="0" xfId="50" applyFont="1" applyFill="1" applyBorder="1" applyAlignment="1">
      <alignment horizontal="center" vertical="center"/>
      <protection/>
    </xf>
    <xf numFmtId="0" fontId="20" fillId="0" borderId="0" xfId="50" applyFont="1" applyFill="1" applyBorder="1" applyAlignment="1">
      <alignment horizontal="left" vertical="center" wrapText="1"/>
      <protection/>
    </xf>
    <xf numFmtId="171" fontId="20" fillId="0" borderId="0" xfId="50" applyNumberFormat="1" applyFont="1" applyFill="1" applyBorder="1" applyAlignment="1">
      <alignment horizontal="center" vertical="center" wrapText="1"/>
      <protection/>
    </xf>
    <xf numFmtId="0" fontId="20" fillId="0" borderId="0" xfId="50" applyFont="1" applyFill="1" applyBorder="1" applyAlignment="1">
      <alignment horizontal="center" vertical="center" wrapText="1"/>
      <protection/>
    </xf>
    <xf numFmtId="172" fontId="20" fillId="0" borderId="0" xfId="50" applyNumberFormat="1" applyFont="1" applyFill="1" applyBorder="1" applyAlignment="1">
      <alignment horizontal="right" vertical="center"/>
      <protection/>
    </xf>
    <xf numFmtId="0" fontId="16" fillId="0" borderId="0" xfId="50" applyFont="1" applyFill="1" applyBorder="1" applyAlignment="1">
      <alignment horizontal="left" vertical="center" wrapText="1"/>
      <protection/>
    </xf>
    <xf numFmtId="170" fontId="20" fillId="38" borderId="38" xfId="50" applyNumberFormat="1" applyFont="1" applyFill="1" applyBorder="1" applyAlignment="1">
      <alignment horizontal="center" vertical="center"/>
      <protection/>
    </xf>
    <xf numFmtId="0" fontId="16" fillId="34" borderId="32" xfId="50" applyFont="1" applyFill="1" applyBorder="1" applyAlignment="1">
      <alignment horizontal="left" vertical="center"/>
      <protection/>
    </xf>
    <xf numFmtId="170" fontId="20" fillId="34" borderId="32" xfId="50" applyNumberFormat="1" applyFont="1" applyFill="1" applyBorder="1" applyAlignment="1">
      <alignment horizontal="center" vertical="center"/>
      <protection/>
    </xf>
    <xf numFmtId="0" fontId="20" fillId="34" borderId="32" xfId="50" applyFont="1" applyFill="1" applyBorder="1" applyAlignment="1">
      <alignment horizontal="center" vertical="center"/>
      <protection/>
    </xf>
    <xf numFmtId="171" fontId="3" fillId="0" borderId="38" xfId="74" applyNumberFormat="1" applyFont="1" applyFill="1" applyBorder="1" applyAlignment="1" applyProtection="1">
      <alignment horizontal="center" vertical="center" wrapText="1"/>
      <protection/>
    </xf>
    <xf numFmtId="171" fontId="4" fillId="38" borderId="38" xfId="74" applyNumberFormat="1" applyFont="1" applyFill="1" applyBorder="1" applyAlignment="1" applyProtection="1">
      <alignment horizontal="center" vertical="center" wrapText="1"/>
      <protection/>
    </xf>
    <xf numFmtId="0" fontId="8" fillId="38" borderId="78" xfId="50" applyFont="1" applyFill="1" applyBorder="1" applyAlignment="1">
      <alignment horizontal="center" vertical="center" wrapText="1"/>
      <protection/>
    </xf>
    <xf numFmtId="0" fontId="8" fillId="38" borderId="75" xfId="50" applyFont="1" applyFill="1" applyBorder="1" applyAlignment="1">
      <alignment horizontal="center" vertical="center" wrapText="1"/>
      <protection/>
    </xf>
    <xf numFmtId="0" fontId="32" fillId="38" borderId="63" xfId="50" applyFont="1" applyFill="1" applyBorder="1" applyAlignment="1">
      <alignment horizontal="center" vertical="center" wrapText="1"/>
      <protection/>
    </xf>
    <xf numFmtId="43" fontId="3" fillId="0" borderId="38" xfId="87" applyFont="1" applyFill="1" applyBorder="1" applyAlignment="1">
      <alignment vertical="center" wrapText="1"/>
    </xf>
    <xf numFmtId="171" fontId="3" fillId="0" borderId="52" xfId="74" applyNumberFormat="1" applyFont="1" applyFill="1" applyBorder="1" applyAlignment="1" applyProtection="1">
      <alignment vertical="center" wrapText="1"/>
      <protection/>
    </xf>
    <xf numFmtId="0" fontId="3" fillId="0" borderId="38" xfId="50" applyFont="1" applyFill="1" applyBorder="1" applyAlignment="1">
      <alignment vertical="center" wrapText="1"/>
      <protection/>
    </xf>
    <xf numFmtId="0" fontId="3" fillId="0" borderId="20" xfId="50" applyFont="1" applyFill="1" applyBorder="1" applyAlignment="1">
      <alignment vertical="center"/>
      <protection/>
    </xf>
    <xf numFmtId="171" fontId="4" fillId="0" borderId="20" xfId="50" applyNumberFormat="1" applyFont="1" applyFill="1" applyBorder="1" applyAlignment="1">
      <alignment vertical="center"/>
      <protection/>
    </xf>
    <xf numFmtId="0" fontId="3" fillId="0" borderId="32" xfId="50" applyFont="1" applyFill="1" applyBorder="1" applyAlignment="1">
      <alignment vertical="center" wrapText="1"/>
      <protection/>
    </xf>
    <xf numFmtId="0" fontId="3" fillId="0" borderId="32" xfId="50" applyFont="1" applyFill="1" applyBorder="1" applyAlignment="1">
      <alignment horizontal="left" vertical="center" indent="1"/>
      <protection/>
    </xf>
    <xf numFmtId="49" fontId="3" fillId="0" borderId="40" xfId="50" applyNumberFormat="1" applyFont="1" applyFill="1" applyBorder="1" applyAlignment="1">
      <alignment horizontal="left" vertical="center"/>
      <protection/>
    </xf>
    <xf numFmtId="49" fontId="3" fillId="0" borderId="62" xfId="50" applyNumberFormat="1" applyFont="1" applyFill="1" applyBorder="1" applyAlignment="1">
      <alignment horizontal="left" vertical="center"/>
      <protection/>
    </xf>
    <xf numFmtId="0" fontId="4" fillId="38" borderId="38" xfId="50" applyFont="1" applyFill="1" applyBorder="1" applyAlignment="1">
      <alignment horizontal="center" vertical="center" wrapText="1"/>
      <protection/>
    </xf>
    <xf numFmtId="43" fontId="4" fillId="0" borderId="38" xfId="87" applyFont="1" applyFill="1" applyBorder="1" applyAlignment="1">
      <alignment vertical="center" wrapText="1"/>
    </xf>
    <xf numFmtId="171" fontId="3" fillId="34" borderId="38" xfId="74" applyNumberFormat="1" applyFont="1" applyFill="1" applyBorder="1" applyAlignment="1" applyProtection="1">
      <alignment horizontal="left" vertical="center" wrapText="1"/>
      <protection/>
    </xf>
    <xf numFmtId="0" fontId="20" fillId="0" borderId="0" xfId="50" applyFont="1" applyFill="1" applyBorder="1" applyAlignment="1">
      <alignment horizontal="center" vertical="center"/>
      <protection/>
    </xf>
    <xf numFmtId="0" fontId="20" fillId="0" borderId="0" xfId="50" applyFont="1" applyFill="1" applyBorder="1" applyAlignment="1">
      <alignment horizontal="left" vertical="center" wrapText="1" indent="1"/>
      <protection/>
    </xf>
    <xf numFmtId="43" fontId="20" fillId="0" borderId="0" xfId="50" applyNumberFormat="1" applyFont="1" applyFill="1" applyBorder="1" applyAlignment="1">
      <alignment horizontal="left" vertical="center" indent="1"/>
      <protection/>
    </xf>
    <xf numFmtId="0" fontId="20" fillId="0" borderId="0" xfId="50" applyFont="1" applyFill="1" applyBorder="1" applyAlignment="1">
      <alignment horizontal="left" vertical="center" indent="1"/>
      <protection/>
    </xf>
    <xf numFmtId="0" fontId="16" fillId="0" borderId="0" xfId="50" applyFont="1" applyFill="1" applyBorder="1" applyAlignment="1">
      <alignment vertical="center"/>
      <protection/>
    </xf>
    <xf numFmtId="0" fontId="20" fillId="0" borderId="0" xfId="50" applyFont="1" applyFill="1" applyBorder="1" applyAlignment="1">
      <alignment horizontal="left" wrapText="1" indent="2"/>
      <protection/>
    </xf>
    <xf numFmtId="0" fontId="20" fillId="0" borderId="0" xfId="50" applyFont="1" applyFill="1" applyBorder="1" applyAlignment="1">
      <alignment horizontal="left" wrapText="1" indent="1"/>
      <protection/>
    </xf>
    <xf numFmtId="171" fontId="4" fillId="38" borderId="22" xfId="74" applyNumberFormat="1" applyFont="1" applyFill="1" applyBorder="1" applyAlignment="1" applyProtection="1">
      <alignment horizontal="center" vertical="center" wrapText="1"/>
      <protection/>
    </xf>
    <xf numFmtId="171" fontId="4" fillId="38" borderId="38" xfId="74" applyNumberFormat="1" applyFont="1" applyFill="1" applyBorder="1" applyAlignment="1" applyProtection="1">
      <alignment horizontal="center" vertical="center" wrapText="1"/>
      <protection/>
    </xf>
    <xf numFmtId="171" fontId="20" fillId="0" borderId="38" xfId="74" applyNumberFormat="1" applyFont="1" applyFill="1" applyBorder="1" applyAlignment="1" applyProtection="1">
      <alignment horizontal="right" vertical="center" wrapText="1"/>
      <protection/>
    </xf>
    <xf numFmtId="171" fontId="16" fillId="0" borderId="38" xfId="74" applyNumberFormat="1" applyFont="1" applyFill="1" applyBorder="1" applyAlignment="1" applyProtection="1">
      <alignment vertical="center" wrapText="1"/>
      <protection/>
    </xf>
    <xf numFmtId="171" fontId="20" fillId="0" borderId="38" xfId="74" applyNumberFormat="1" applyFont="1" applyFill="1" applyBorder="1" applyAlignment="1" applyProtection="1">
      <alignment vertical="center" wrapText="1"/>
      <protection/>
    </xf>
    <xf numFmtId="0" fontId="20" fillId="0" borderId="38" xfId="50" applyFont="1" applyFill="1" applyBorder="1" applyAlignment="1">
      <alignment horizontal="center" vertical="center"/>
      <protection/>
    </xf>
    <xf numFmtId="171" fontId="3" fillId="34" borderId="20" xfId="74" applyNumberFormat="1" applyFont="1" applyFill="1" applyBorder="1" applyAlignment="1" applyProtection="1">
      <alignment horizontal="left" vertical="center" wrapText="1"/>
      <protection/>
    </xf>
    <xf numFmtId="0" fontId="3" fillId="0" borderId="32" xfId="50" applyFont="1" applyFill="1" applyBorder="1" applyAlignment="1">
      <alignment horizontal="left" vertical="center" wrapText="1"/>
      <protection/>
    </xf>
    <xf numFmtId="171" fontId="3" fillId="34" borderId="32" xfId="74" applyNumberFormat="1" applyFont="1" applyFill="1" applyBorder="1" applyAlignment="1" applyProtection="1">
      <alignment horizontal="left" vertical="center" wrapText="1"/>
      <protection/>
    </xf>
    <xf numFmtId="171" fontId="3" fillId="34" borderId="32" xfId="74" applyNumberFormat="1" applyFont="1" applyFill="1" applyBorder="1" applyAlignment="1" applyProtection="1">
      <alignment horizontal="center" vertical="center" wrapText="1"/>
      <protection/>
    </xf>
    <xf numFmtId="171" fontId="3" fillId="0" borderId="32" xfId="74" applyNumberFormat="1" applyFont="1" applyFill="1" applyBorder="1" applyAlignment="1" applyProtection="1">
      <alignment horizontal="center" vertical="center" wrapText="1"/>
      <protection/>
    </xf>
    <xf numFmtId="171" fontId="4" fillId="38" borderId="51" xfId="74" applyNumberFormat="1" applyFont="1" applyFill="1" applyBorder="1" applyAlignment="1" applyProtection="1">
      <alignment horizontal="center" vertical="center" wrapText="1"/>
      <protection/>
    </xf>
    <xf numFmtId="171" fontId="4" fillId="38" borderId="20" xfId="74" applyNumberFormat="1" applyFont="1" applyFill="1" applyBorder="1" applyAlignment="1" applyProtection="1">
      <alignment horizontal="center" vertical="center" wrapText="1"/>
      <protection/>
    </xf>
    <xf numFmtId="43" fontId="4" fillId="38" borderId="20" xfId="50" applyNumberFormat="1" applyFont="1" applyFill="1" applyBorder="1" applyAlignment="1">
      <alignment vertical="center" wrapText="1"/>
      <protection/>
    </xf>
    <xf numFmtId="0" fontId="4" fillId="34" borderId="32" xfId="50" applyFont="1" applyFill="1" applyBorder="1" applyAlignment="1">
      <alignment vertical="center" wrapText="1"/>
      <protection/>
    </xf>
    <xf numFmtId="43" fontId="4" fillId="34" borderId="32" xfId="50" applyNumberFormat="1" applyFont="1" applyFill="1" applyBorder="1" applyAlignment="1">
      <alignment vertical="center" wrapText="1"/>
      <protection/>
    </xf>
    <xf numFmtId="43" fontId="4" fillId="34" borderId="32" xfId="50" applyNumberFormat="1" applyFont="1" applyFill="1" applyBorder="1" applyAlignment="1">
      <alignment horizontal="center" vertical="center" wrapText="1"/>
      <protection/>
    </xf>
    <xf numFmtId="0" fontId="4" fillId="34" borderId="32" xfId="50" applyFont="1" applyFill="1" applyBorder="1" applyAlignment="1">
      <alignment horizontal="center" vertical="center" wrapText="1"/>
      <protection/>
    </xf>
    <xf numFmtId="0" fontId="4" fillId="38" borderId="62" xfId="50" applyFont="1" applyFill="1" applyBorder="1" applyAlignment="1">
      <alignment horizontal="center" vertical="center" wrapText="1"/>
      <protection/>
    </xf>
    <xf numFmtId="171" fontId="3" fillId="34" borderId="41" xfId="74" applyNumberFormat="1" applyFont="1" applyFill="1" applyBorder="1" applyAlignment="1" applyProtection="1">
      <alignment horizontal="center" vertical="center"/>
      <protection/>
    </xf>
    <xf numFmtId="171" fontId="3" fillId="34" borderId="40" xfId="74" applyNumberFormat="1" applyFont="1" applyFill="1" applyBorder="1" applyAlignment="1" applyProtection="1">
      <alignment horizontal="center" vertical="center"/>
      <protection/>
    </xf>
    <xf numFmtId="0" fontId="3" fillId="0" borderId="62" xfId="50" applyFont="1" applyFill="1" applyBorder="1" applyAlignment="1">
      <alignment horizontal="left" vertical="center" wrapText="1"/>
      <protection/>
    </xf>
    <xf numFmtId="171" fontId="16" fillId="0" borderId="22" xfId="74" applyNumberFormat="1" applyFont="1" applyFill="1" applyBorder="1" applyAlignment="1" applyProtection="1">
      <alignment vertical="center" wrapText="1"/>
      <protection/>
    </xf>
    <xf numFmtId="171" fontId="4" fillId="38" borderId="24" xfId="74" applyNumberFormat="1" applyFont="1" applyFill="1" applyBorder="1" applyAlignment="1" applyProtection="1">
      <alignment horizontal="center" vertical="center" wrapText="1"/>
      <protection/>
    </xf>
    <xf numFmtId="171" fontId="4" fillId="38" borderId="22" xfId="74" applyNumberFormat="1" applyFont="1" applyFill="1" applyBorder="1" applyAlignment="1" applyProtection="1">
      <alignment horizontal="center" vertical="center" wrapText="1"/>
      <protection/>
    </xf>
    <xf numFmtId="0" fontId="16" fillId="0" borderId="62" xfId="50" applyFont="1" applyFill="1" applyBorder="1" applyAlignment="1">
      <alignment horizontal="left" vertical="center" wrapText="1" indent="1"/>
      <protection/>
    </xf>
    <xf numFmtId="0" fontId="20" fillId="0" borderId="62" xfId="50" applyFont="1" applyFill="1" applyBorder="1" applyAlignment="1">
      <alignment horizontal="left" vertical="center" wrapText="1" indent="2"/>
      <protection/>
    </xf>
    <xf numFmtId="0" fontId="16" fillId="0" borderId="62" xfId="50" applyFont="1" applyFill="1" applyBorder="1" applyAlignment="1">
      <alignment horizontal="left" vertical="center" wrapText="1" indent="2"/>
      <protection/>
    </xf>
    <xf numFmtId="0" fontId="16" fillId="38" borderId="62" xfId="50" applyFont="1" applyFill="1" applyBorder="1" applyAlignment="1">
      <alignment horizontal="left" vertical="center" wrapText="1" indent="2"/>
      <protection/>
    </xf>
    <xf numFmtId="0" fontId="16" fillId="0" borderId="62" xfId="50" applyFont="1" applyFill="1" applyBorder="1" applyAlignment="1">
      <alignment horizontal="left" vertical="center" wrapText="1"/>
      <protection/>
    </xf>
    <xf numFmtId="0" fontId="20" fillId="0" borderId="62" xfId="50" applyFont="1" applyFill="1" applyBorder="1" applyAlignment="1">
      <alignment horizontal="left" vertical="center" wrapText="1"/>
      <protection/>
    </xf>
    <xf numFmtId="0" fontId="20" fillId="0" borderId="62" xfId="50" applyFont="1" applyFill="1" applyBorder="1" applyAlignment="1">
      <alignment horizontal="left" vertical="center" wrapText="1" indent="1"/>
      <protection/>
    </xf>
    <xf numFmtId="0" fontId="16" fillId="38" borderId="62" xfId="50" applyFont="1" applyFill="1" applyBorder="1" applyAlignment="1">
      <alignment horizontal="left" vertical="center" wrapText="1" indent="1"/>
      <protection/>
    </xf>
    <xf numFmtId="0" fontId="16" fillId="0" borderId="62" xfId="50" applyFont="1" applyFill="1" applyBorder="1" applyAlignment="1">
      <alignment horizontal="left" wrapText="1" indent="1"/>
      <protection/>
    </xf>
    <xf numFmtId="0" fontId="3" fillId="0" borderId="62" xfId="50" applyFont="1" applyFill="1" applyBorder="1" applyAlignment="1">
      <alignment horizontal="left" wrapText="1" indent="1"/>
      <protection/>
    </xf>
    <xf numFmtId="0" fontId="4" fillId="38" borderId="50" xfId="50" applyFont="1" applyFill="1" applyBorder="1" applyAlignment="1">
      <alignment horizontal="left" vertical="center" wrapText="1"/>
      <protection/>
    </xf>
    <xf numFmtId="0" fontId="16" fillId="38" borderId="62" xfId="50" applyFont="1" applyFill="1" applyBorder="1" applyAlignment="1">
      <alignment horizontal="left" vertical="center"/>
      <protection/>
    </xf>
    <xf numFmtId="0" fontId="4" fillId="38" borderId="62" xfId="50" applyFont="1" applyFill="1" applyBorder="1" applyAlignment="1">
      <alignment horizontal="left" vertical="center" wrapText="1" indent="1"/>
      <protection/>
    </xf>
    <xf numFmtId="0" fontId="3" fillId="0" borderId="62" xfId="50" applyFont="1" applyFill="1" applyBorder="1" applyAlignment="1">
      <alignment horizontal="left" vertical="center" wrapText="1" indent="2"/>
      <protection/>
    </xf>
    <xf numFmtId="0" fontId="4" fillId="38" borderId="62" xfId="50" applyFont="1" applyFill="1" applyBorder="1" applyAlignment="1">
      <alignment horizontal="left" vertical="center" wrapText="1" indent="2"/>
      <protection/>
    </xf>
    <xf numFmtId="0" fontId="3" fillId="0" borderId="39" xfId="50" applyFont="1" applyFill="1" applyBorder="1" applyAlignment="1">
      <alignment horizontal="left" vertical="center" wrapText="1"/>
      <protection/>
    </xf>
    <xf numFmtId="0" fontId="3" fillId="0" borderId="34" xfId="50" applyFont="1" applyFill="1" applyBorder="1" applyAlignment="1">
      <alignment horizontal="left" vertical="center"/>
      <protection/>
    </xf>
    <xf numFmtId="0" fontId="4" fillId="0" borderId="39" xfId="50" applyFont="1" applyFill="1" applyBorder="1" applyAlignment="1">
      <alignment vertical="center" wrapText="1"/>
      <protection/>
    </xf>
    <xf numFmtId="0" fontId="3" fillId="0" borderId="39" xfId="50" applyFont="1" applyFill="1" applyBorder="1" applyAlignment="1">
      <alignment vertical="center" wrapText="1"/>
      <protection/>
    </xf>
    <xf numFmtId="0" fontId="3" fillId="0" borderId="18" xfId="50" applyFont="1" applyFill="1" applyBorder="1" applyAlignment="1">
      <alignment vertical="center" wrapText="1"/>
      <protection/>
    </xf>
    <xf numFmtId="0" fontId="4" fillId="38" borderId="0" xfId="50" applyFont="1" applyFill="1" applyBorder="1" applyAlignment="1">
      <alignment vertical="center" wrapText="1"/>
      <protection/>
    </xf>
    <xf numFmtId="0" fontId="4" fillId="0" borderId="62" xfId="50" applyFont="1" applyFill="1" applyBorder="1" applyAlignment="1">
      <alignment vertical="center" wrapText="1"/>
      <protection/>
    </xf>
    <xf numFmtId="0" fontId="3" fillId="0" borderId="62" xfId="50" applyFont="1" applyFill="1" applyBorder="1" applyAlignment="1">
      <alignment vertical="center" wrapText="1"/>
      <protection/>
    </xf>
    <xf numFmtId="0" fontId="3" fillId="0" borderId="50" xfId="5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171" fontId="3" fillId="0" borderId="40" xfId="74" applyNumberFormat="1" applyFont="1" applyFill="1" applyBorder="1" applyAlignment="1" applyProtection="1">
      <alignment vertical="center"/>
      <protection/>
    </xf>
    <xf numFmtId="171" fontId="3" fillId="0" borderId="30" xfId="74" applyNumberFormat="1" applyFont="1" applyFill="1" applyBorder="1" applyAlignment="1" applyProtection="1">
      <alignment vertical="center"/>
      <protection/>
    </xf>
    <xf numFmtId="0" fontId="3" fillId="0" borderId="40" xfId="50" applyFont="1" applyFill="1" applyBorder="1" applyAlignment="1">
      <alignment horizontal="left" wrapText="1" indent="1"/>
      <protection/>
    </xf>
    <xf numFmtId="171" fontId="4" fillId="0" borderId="41" xfId="50" applyNumberFormat="1" applyFont="1" applyFill="1" applyBorder="1" applyAlignment="1">
      <alignment vertical="center"/>
      <protection/>
    </xf>
    <xf numFmtId="0" fontId="20" fillId="0" borderId="0" xfId="50" applyFont="1" applyFill="1" applyBorder="1" applyAlignment="1">
      <alignment horizontal="left" indent="5"/>
      <protection/>
    </xf>
    <xf numFmtId="0" fontId="16" fillId="0" borderId="0" xfId="50" applyFont="1" applyFill="1" applyBorder="1" applyAlignment="1">
      <alignment horizontal="left" indent="5"/>
      <protection/>
    </xf>
    <xf numFmtId="43" fontId="4" fillId="34" borderId="38" xfId="87" applyFont="1" applyFill="1" applyBorder="1" applyAlignment="1">
      <alignment vertical="center" wrapText="1"/>
    </xf>
    <xf numFmtId="43" fontId="4" fillId="34" borderId="22" xfId="87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1" fontId="0" fillId="34" borderId="38" xfId="84" applyFill="1" applyBorder="1" applyAlignment="1">
      <alignment vertical="center" wrapText="1"/>
    </xf>
    <xf numFmtId="0" fontId="4" fillId="0" borderId="62" xfId="50" applyFont="1" applyFill="1" applyBorder="1" applyAlignment="1">
      <alignment horizontal="left" vertical="center" wrapText="1"/>
      <protection/>
    </xf>
    <xf numFmtId="171" fontId="4" fillId="34" borderId="38" xfId="74" applyNumberFormat="1" applyFont="1" applyFill="1" applyBorder="1" applyAlignment="1" applyProtection="1">
      <alignment horizontal="left" vertical="center" wrapText="1"/>
      <protection/>
    </xf>
    <xf numFmtId="171" fontId="4" fillId="34" borderId="22" xfId="74" applyNumberFormat="1" applyFont="1" applyFill="1" applyBorder="1" applyAlignment="1" applyProtection="1">
      <alignment horizontal="left" vertical="center" wrapText="1"/>
      <protection/>
    </xf>
    <xf numFmtId="0" fontId="4" fillId="38" borderId="38" xfId="50" applyFont="1" applyFill="1" applyBorder="1" applyAlignment="1">
      <alignment horizontal="center" vertical="center" wrapText="1"/>
      <protection/>
    </xf>
    <xf numFmtId="171" fontId="4" fillId="38" borderId="44" xfId="74" applyNumberFormat="1" applyFont="1" applyFill="1" applyBorder="1" applyAlignment="1" applyProtection="1">
      <alignment horizontal="center" vertical="center" wrapText="1"/>
      <protection/>
    </xf>
    <xf numFmtId="171" fontId="0" fillId="34" borderId="22" xfId="86" applyFont="1" applyFill="1" applyBorder="1" applyAlignment="1">
      <alignment horizontal="center" vertical="center" wrapText="1"/>
    </xf>
    <xf numFmtId="171" fontId="0" fillId="0" borderId="0" xfId="84" applyFill="1" applyBorder="1" applyAlignment="1">
      <alignment/>
    </xf>
    <xf numFmtId="0" fontId="4" fillId="34" borderId="72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/>
    </xf>
    <xf numFmtId="0" fontId="8" fillId="39" borderId="38" xfId="0" applyFont="1" applyFill="1" applyBorder="1" applyAlignment="1">
      <alignment horizontal="left" vertical="center"/>
    </xf>
    <xf numFmtId="0" fontId="3" fillId="39" borderId="0" xfId="0" applyFont="1" applyFill="1" applyAlignment="1">
      <alignment vertical="center"/>
    </xf>
    <xf numFmtId="171" fontId="0" fillId="0" borderId="0" xfId="84" applyAlignment="1">
      <alignment vertical="center"/>
    </xf>
    <xf numFmtId="2" fontId="8" fillId="38" borderId="38" xfId="0" applyNumberFormat="1" applyFont="1" applyFill="1" applyBorder="1" applyAlignment="1">
      <alignment vertical="center"/>
    </xf>
    <xf numFmtId="171" fontId="0" fillId="0" borderId="38" xfId="84" applyFill="1" applyBorder="1" applyAlignment="1">
      <alignment vertical="center" wrapText="1"/>
    </xf>
    <xf numFmtId="171" fontId="0" fillId="0" borderId="38" xfId="84" applyFill="1" applyBorder="1" applyAlignment="1">
      <alignment horizontal="center" vertical="center"/>
    </xf>
    <xf numFmtId="43" fontId="3" fillId="0" borderId="71" xfId="50" applyNumberFormat="1" applyFont="1" applyFill="1" applyBorder="1" applyAlignment="1">
      <alignment horizontal="left" vertical="center" wrapText="1"/>
      <protection/>
    </xf>
    <xf numFmtId="171" fontId="35" fillId="0" borderId="38" xfId="86" applyFont="1" applyFill="1" applyBorder="1" applyAlignment="1">
      <alignment horizontal="right" vertical="center"/>
    </xf>
    <xf numFmtId="0" fontId="4" fillId="34" borderId="69" xfId="0" applyFont="1" applyFill="1" applyBorder="1" applyAlignment="1">
      <alignment horizontal="center" vertical="center"/>
    </xf>
    <xf numFmtId="43" fontId="20" fillId="39" borderId="32" xfId="84" applyNumberFormat="1" applyFont="1" applyFill="1" applyBorder="1" applyAlignment="1" applyProtection="1">
      <alignment horizontal="center" vertical="center"/>
      <protection/>
    </xf>
    <xf numFmtId="43" fontId="20" fillId="39" borderId="0" xfId="84" applyNumberFormat="1" applyFont="1" applyFill="1" applyBorder="1" applyAlignment="1" applyProtection="1">
      <alignment horizontal="center" vertical="center"/>
      <protection/>
    </xf>
    <xf numFmtId="171" fontId="16" fillId="39" borderId="32" xfId="84" applyFont="1" applyFill="1" applyBorder="1" applyAlignment="1" applyProtection="1">
      <alignment horizontal="center" vertical="center"/>
      <protection/>
    </xf>
    <xf numFmtId="171" fontId="16" fillId="39" borderId="0" xfId="84" applyFont="1" applyFill="1" applyBorder="1" applyAlignment="1" applyProtection="1">
      <alignment horizontal="center" vertical="center"/>
      <protection/>
    </xf>
    <xf numFmtId="171" fontId="20" fillId="0" borderId="36" xfId="84" applyFont="1" applyFill="1" applyBorder="1" applyAlignment="1" applyProtection="1">
      <alignment horizontal="center" vertical="center" wrapText="1"/>
      <protection/>
    </xf>
    <xf numFmtId="171" fontId="20" fillId="0" borderId="66" xfId="84" applyFont="1" applyFill="1" applyBorder="1" applyAlignment="1" applyProtection="1">
      <alignment horizontal="center" vertical="center" wrapText="1"/>
      <protection/>
    </xf>
    <xf numFmtId="171" fontId="20" fillId="0" borderId="12" xfId="84" applyFont="1" applyFill="1" applyBorder="1" applyAlignment="1" applyProtection="1">
      <alignment horizontal="center" vertical="center" wrapText="1"/>
      <protection/>
    </xf>
    <xf numFmtId="171" fontId="20" fillId="0" borderId="14" xfId="84" applyFont="1" applyFill="1" applyBorder="1" applyAlignment="1" applyProtection="1">
      <alignment horizontal="center" vertical="center" wrapText="1"/>
      <protection/>
    </xf>
    <xf numFmtId="171" fontId="20" fillId="0" borderId="25" xfId="84" applyFont="1" applyFill="1" applyBorder="1" applyAlignment="1" applyProtection="1">
      <alignment horizontal="center" vertical="center"/>
      <protection/>
    </xf>
    <xf numFmtId="171" fontId="20" fillId="0" borderId="61" xfId="84" applyFont="1" applyFill="1" applyBorder="1" applyAlignment="1" applyProtection="1">
      <alignment horizontal="center" vertical="center"/>
      <protection/>
    </xf>
    <xf numFmtId="171" fontId="20" fillId="0" borderId="18" xfId="84" applyFont="1" applyFill="1" applyBorder="1" applyAlignment="1" applyProtection="1">
      <alignment horizontal="center" vertical="center"/>
      <protection/>
    </xf>
    <xf numFmtId="171" fontId="20" fillId="0" borderId="19" xfId="84" applyFont="1" applyFill="1" applyBorder="1" applyAlignment="1" applyProtection="1">
      <alignment horizontal="center" wrapText="1"/>
      <protection/>
    </xf>
    <xf numFmtId="43" fontId="20" fillId="34" borderId="35" xfId="84" applyNumberFormat="1" applyFont="1" applyFill="1" applyBorder="1" applyAlignment="1" applyProtection="1">
      <alignment horizontal="center" vertical="center"/>
      <protection/>
    </xf>
    <xf numFmtId="170" fontId="20" fillId="34" borderId="58" xfId="84" applyNumberFormat="1" applyFont="1" applyFill="1" applyBorder="1" applyAlignment="1" applyProtection="1">
      <alignment horizontal="center" vertical="center"/>
      <protection/>
    </xf>
    <xf numFmtId="171" fontId="20" fillId="0" borderId="29" xfId="84" applyFont="1" applyFill="1" applyBorder="1" applyAlignment="1" applyProtection="1">
      <alignment horizontal="center" vertical="center"/>
      <protection/>
    </xf>
    <xf numFmtId="43" fontId="20" fillId="34" borderId="11" xfId="84" applyNumberFormat="1" applyFont="1" applyFill="1" applyBorder="1" applyAlignment="1" applyProtection="1">
      <alignment horizontal="center" vertical="center"/>
      <protection/>
    </xf>
    <xf numFmtId="170" fontId="20" fillId="34" borderId="16" xfId="84" applyNumberFormat="1" applyFont="1" applyFill="1" applyBorder="1" applyAlignment="1" applyProtection="1">
      <alignment horizontal="center" vertical="center"/>
      <protection/>
    </xf>
    <xf numFmtId="171" fontId="16" fillId="0" borderId="10" xfId="84" applyFont="1" applyFill="1" applyBorder="1" applyAlignment="1" applyProtection="1">
      <alignment horizontal="center" vertical="center"/>
      <protection/>
    </xf>
    <xf numFmtId="49" fontId="20" fillId="0" borderId="56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171" fontId="16" fillId="39" borderId="30" xfId="84" applyFont="1" applyFill="1" applyBorder="1" applyAlignment="1" applyProtection="1">
      <alignment horizontal="center" vertical="center"/>
      <protection/>
    </xf>
    <xf numFmtId="171" fontId="20" fillId="0" borderId="10" xfId="84" applyFont="1" applyFill="1" applyBorder="1" applyAlignment="1" applyProtection="1">
      <alignment horizontal="center" vertical="center"/>
      <protection/>
    </xf>
    <xf numFmtId="171" fontId="16" fillId="0" borderId="25" xfId="84" applyFont="1" applyFill="1" applyBorder="1" applyAlignment="1" applyProtection="1">
      <alignment horizontal="center" vertical="center"/>
      <protection/>
    </xf>
    <xf numFmtId="171" fontId="16" fillId="0" borderId="18" xfId="84" applyFont="1" applyFill="1" applyBorder="1" applyAlignment="1" applyProtection="1">
      <alignment horizontal="center" vertical="center"/>
      <protection/>
    </xf>
    <xf numFmtId="171" fontId="16" fillId="34" borderId="11" xfId="84" applyFont="1" applyFill="1" applyBorder="1" applyAlignment="1" applyProtection="1">
      <alignment horizontal="center" vertical="center"/>
      <protection/>
    </xf>
    <xf numFmtId="171" fontId="16" fillId="34" borderId="16" xfId="84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>
      <alignment horizontal="left" vertical="center" wrapText="1"/>
    </xf>
    <xf numFmtId="171" fontId="16" fillId="0" borderId="12" xfId="84" applyFont="1" applyFill="1" applyBorder="1" applyAlignment="1" applyProtection="1">
      <alignment horizontal="center" vertical="center"/>
      <protection/>
    </xf>
    <xf numFmtId="171" fontId="16" fillId="39" borderId="30" xfId="84" applyFont="1" applyFill="1" applyBorder="1" applyAlignment="1" applyProtection="1">
      <alignment horizontal="right" vertical="center"/>
      <protection/>
    </xf>
    <xf numFmtId="171" fontId="20" fillId="0" borderId="14" xfId="84" applyFont="1" applyFill="1" applyBorder="1" applyAlignment="1" applyProtection="1">
      <alignment horizontal="center" vertical="center"/>
      <protection/>
    </xf>
    <xf numFmtId="171" fontId="16" fillId="0" borderId="19" xfId="84" applyFont="1" applyFill="1" applyBorder="1" applyAlignment="1" applyProtection="1">
      <alignment horizontal="center" vertical="center"/>
      <protection/>
    </xf>
    <xf numFmtId="171" fontId="16" fillId="0" borderId="25" xfId="84" applyFont="1" applyFill="1" applyBorder="1" applyAlignment="1" applyProtection="1">
      <alignment horizontal="center"/>
      <protection/>
    </xf>
    <xf numFmtId="171" fontId="16" fillId="0" borderId="61" xfId="84" applyFont="1" applyFill="1" applyBorder="1" applyAlignment="1" applyProtection="1">
      <alignment horizontal="center"/>
      <protection/>
    </xf>
    <xf numFmtId="171" fontId="16" fillId="0" borderId="18" xfId="84" applyFont="1" applyFill="1" applyBorder="1" applyAlignment="1" applyProtection="1">
      <alignment horizontal="center"/>
      <protection/>
    </xf>
    <xf numFmtId="171" fontId="16" fillId="0" borderId="11" xfId="84" applyFont="1" applyFill="1" applyBorder="1" applyAlignment="1" applyProtection="1">
      <alignment horizontal="center" vertical="center"/>
      <protection/>
    </xf>
    <xf numFmtId="171" fontId="16" fillId="0" borderId="21" xfId="84" applyFont="1" applyFill="1" applyBorder="1" applyAlignment="1" applyProtection="1">
      <alignment horizontal="center" vertical="center"/>
      <protection/>
    </xf>
    <xf numFmtId="171" fontId="16" fillId="34" borderId="68" xfId="84" applyFont="1" applyFill="1" applyBorder="1" applyAlignment="1" applyProtection="1">
      <alignment horizontal="center" vertical="center"/>
      <protection/>
    </xf>
    <xf numFmtId="171" fontId="16" fillId="0" borderId="19" xfId="86" applyFont="1" applyFill="1" applyBorder="1" applyAlignment="1" applyProtection="1">
      <alignment horizontal="center" vertical="center"/>
      <protection/>
    </xf>
    <xf numFmtId="171" fontId="16" fillId="34" borderId="10" xfId="84" applyFont="1" applyFill="1" applyBorder="1" applyAlignment="1" applyProtection="1">
      <alignment horizontal="center" vertical="center"/>
      <protection/>
    </xf>
    <xf numFmtId="43" fontId="20" fillId="34" borderId="16" xfId="84" applyNumberFormat="1" applyFont="1" applyFill="1" applyBorder="1" applyAlignment="1" applyProtection="1">
      <alignment horizontal="center" vertical="center"/>
      <protection/>
    </xf>
    <xf numFmtId="171" fontId="16" fillId="34" borderId="31" xfId="84" applyFont="1" applyFill="1" applyBorder="1" applyAlignment="1" applyProtection="1">
      <alignment horizontal="center" vertical="center"/>
      <protection/>
    </xf>
    <xf numFmtId="171" fontId="16" fillId="0" borderId="31" xfId="84" applyFont="1" applyFill="1" applyBorder="1" applyAlignment="1" applyProtection="1">
      <alignment horizontal="center" vertical="center"/>
      <protection/>
    </xf>
    <xf numFmtId="171" fontId="20" fillId="0" borderId="19" xfId="84" applyFont="1" applyFill="1" applyBorder="1" applyAlignment="1" applyProtection="1">
      <alignment horizontal="center" vertical="center" wrapText="1"/>
      <protection/>
    </xf>
    <xf numFmtId="170" fontId="16" fillId="34" borderId="11" xfId="84" applyNumberFormat="1" applyFont="1" applyFill="1" applyBorder="1" applyAlignment="1" applyProtection="1">
      <alignment horizontal="center" vertical="center"/>
      <protection/>
    </xf>
    <xf numFmtId="170" fontId="16" fillId="34" borderId="16" xfId="84" applyNumberFormat="1" applyFont="1" applyFill="1" applyBorder="1" applyAlignment="1" applyProtection="1">
      <alignment horizontal="center" vertical="center"/>
      <protection/>
    </xf>
    <xf numFmtId="43" fontId="16" fillId="34" borderId="11" xfId="84" applyNumberFormat="1" applyFont="1" applyFill="1" applyBorder="1" applyAlignment="1" applyProtection="1">
      <alignment horizontal="center" vertical="center"/>
      <protection/>
    </xf>
    <xf numFmtId="171" fontId="20" fillId="0" borderId="11" xfId="84" applyFont="1" applyFill="1" applyBorder="1" applyAlignment="1" applyProtection="1">
      <alignment horizontal="center" vertical="center" wrapText="1"/>
      <protection/>
    </xf>
    <xf numFmtId="171" fontId="16" fillId="0" borderId="25" xfId="84" applyFont="1" applyFill="1" applyBorder="1" applyAlignment="1" applyProtection="1">
      <alignment horizontal="center" vertical="center" wrapText="1"/>
      <protection/>
    </xf>
    <xf numFmtId="171" fontId="16" fillId="0" borderId="18" xfId="84" applyFont="1" applyFill="1" applyBorder="1" applyAlignment="1" applyProtection="1">
      <alignment horizontal="center" vertical="center" wrapText="1"/>
      <protection/>
    </xf>
    <xf numFmtId="171" fontId="16" fillId="0" borderId="19" xfId="84" applyFont="1" applyFill="1" applyBorder="1" applyAlignment="1" applyProtection="1">
      <alignment horizontal="center" vertical="center" wrapText="1"/>
      <protection/>
    </xf>
    <xf numFmtId="171" fontId="16" fillId="0" borderId="61" xfId="84" applyFont="1" applyFill="1" applyBorder="1" applyAlignment="1" applyProtection="1">
      <alignment horizontal="center" vertical="center"/>
      <protection/>
    </xf>
    <xf numFmtId="171" fontId="3" fillId="0" borderId="0" xfId="84" applyFont="1" applyFill="1" applyBorder="1" applyAlignment="1" applyProtection="1">
      <alignment horizontal="center" vertical="center"/>
      <protection/>
    </xf>
    <xf numFmtId="171" fontId="20" fillId="0" borderId="67" xfId="84" applyFont="1" applyFill="1" applyBorder="1" applyAlignment="1" applyProtection="1">
      <alignment horizontal="center" vertical="center" wrapText="1"/>
      <protection/>
    </xf>
    <xf numFmtId="171" fontId="20" fillId="0" borderId="53" xfId="84" applyFont="1" applyFill="1" applyBorder="1" applyAlignment="1" applyProtection="1">
      <alignment horizontal="center" vertical="center" wrapText="1"/>
      <protection/>
    </xf>
    <xf numFmtId="171" fontId="20" fillId="0" borderId="20" xfId="84" applyFont="1" applyFill="1" applyBorder="1" applyAlignment="1" applyProtection="1">
      <alignment horizontal="center" vertical="center"/>
      <protection/>
    </xf>
    <xf numFmtId="171" fontId="20" fillId="0" borderId="24" xfId="84" applyFont="1" applyFill="1" applyBorder="1" applyAlignment="1" applyProtection="1">
      <alignment horizontal="center" vertical="center"/>
      <protection/>
    </xf>
    <xf numFmtId="171" fontId="20" fillId="0" borderId="21" xfId="84" applyFont="1" applyFill="1" applyBorder="1" applyAlignment="1" applyProtection="1">
      <alignment horizontal="center" vertical="center"/>
      <protection/>
    </xf>
    <xf numFmtId="171" fontId="20" fillId="0" borderId="41" xfId="84" applyFont="1" applyFill="1" applyBorder="1" applyAlignment="1" applyProtection="1">
      <alignment horizontal="center" vertical="center"/>
      <protection/>
    </xf>
    <xf numFmtId="171" fontId="20" fillId="0" borderId="40" xfId="84" applyFont="1" applyFill="1" applyBorder="1" applyAlignment="1" applyProtection="1">
      <alignment horizontal="center" vertical="center"/>
      <protection/>
    </xf>
    <xf numFmtId="171" fontId="20" fillId="0" borderId="54" xfId="84" applyFont="1" applyFill="1" applyBorder="1" applyAlignment="1" applyProtection="1">
      <alignment horizontal="center" vertical="center" wrapText="1"/>
      <protection/>
    </xf>
    <xf numFmtId="171" fontId="20" fillId="0" borderId="49" xfId="84" applyFont="1" applyFill="1" applyBorder="1" applyAlignment="1" applyProtection="1">
      <alignment horizontal="center" vertical="center" wrapText="1"/>
      <protection/>
    </xf>
    <xf numFmtId="171" fontId="20" fillId="0" borderId="44" xfId="84" applyFont="1" applyFill="1" applyBorder="1" applyAlignment="1" applyProtection="1">
      <alignment horizontal="center" vertical="center"/>
      <protection/>
    </xf>
    <xf numFmtId="171" fontId="20" fillId="0" borderId="32" xfId="84" applyFont="1" applyFill="1" applyBorder="1" applyAlignment="1" applyProtection="1">
      <alignment horizontal="center" vertical="center"/>
      <protection/>
    </xf>
    <xf numFmtId="171" fontId="20" fillId="0" borderId="51" xfId="84" applyFont="1" applyFill="1" applyBorder="1" applyAlignment="1" applyProtection="1">
      <alignment horizontal="center" vertical="center"/>
      <protection/>
    </xf>
    <xf numFmtId="171" fontId="20" fillId="0" borderId="0" xfId="84" applyFont="1" applyFill="1" applyBorder="1" applyAlignment="1" applyProtection="1">
      <alignment horizontal="center" vertical="center"/>
      <protection/>
    </xf>
    <xf numFmtId="40" fontId="20" fillId="0" borderId="74" xfId="0" applyNumberFormat="1" applyFont="1" applyFill="1" applyBorder="1" applyAlignment="1">
      <alignment horizontal="left" vertical="center"/>
    </xf>
    <xf numFmtId="40" fontId="20" fillId="0" borderId="61" xfId="0" applyNumberFormat="1" applyFont="1" applyFill="1" applyBorder="1" applyAlignment="1">
      <alignment horizontal="left" vertical="center"/>
    </xf>
    <xf numFmtId="40" fontId="16" fillId="0" borderId="23" xfId="0" applyNumberFormat="1" applyFont="1" applyFill="1" applyBorder="1" applyAlignment="1">
      <alignment horizontal="left" vertical="center"/>
    </xf>
    <xf numFmtId="40" fontId="16" fillId="0" borderId="17" xfId="0" applyNumberFormat="1" applyFont="1" applyFill="1" applyBorder="1" applyAlignment="1">
      <alignment horizontal="left" vertical="center"/>
    </xf>
    <xf numFmtId="40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indent="7"/>
    </xf>
    <xf numFmtId="40" fontId="20" fillId="0" borderId="26" xfId="0" applyNumberFormat="1" applyFont="1" applyFill="1" applyBorder="1" applyAlignment="1">
      <alignment horizontal="left" vertical="center"/>
    </xf>
    <xf numFmtId="40" fontId="20" fillId="0" borderId="58" xfId="0" applyNumberFormat="1" applyFont="1" applyFill="1" applyBorder="1" applyAlignment="1">
      <alignment horizontal="left" vertical="center"/>
    </xf>
    <xf numFmtId="40" fontId="16" fillId="0" borderId="49" xfId="0" applyNumberFormat="1" applyFont="1" applyFill="1" applyBorder="1" applyAlignment="1">
      <alignment horizontal="left" vertical="center"/>
    </xf>
    <xf numFmtId="40" fontId="16" fillId="0" borderId="0" xfId="0" applyNumberFormat="1" applyFont="1" applyFill="1" applyBorder="1" applyAlignment="1">
      <alignment horizontal="left" vertical="center"/>
    </xf>
    <xf numFmtId="40" fontId="20" fillId="0" borderId="49" xfId="0" applyNumberFormat="1" applyFont="1" applyFill="1" applyBorder="1" applyAlignment="1">
      <alignment horizontal="left" vertical="center"/>
    </xf>
    <xf numFmtId="40" fontId="20" fillId="0" borderId="0" xfId="0" applyNumberFormat="1" applyFont="1" applyFill="1" applyBorder="1" applyAlignment="1">
      <alignment horizontal="left" vertical="center"/>
    </xf>
    <xf numFmtId="40" fontId="20" fillId="0" borderId="71" xfId="0" applyNumberFormat="1" applyFont="1" applyFill="1" applyBorder="1" applyAlignment="1">
      <alignment horizontal="left" vertical="center"/>
    </xf>
    <xf numFmtId="40" fontId="20" fillId="0" borderId="39" xfId="0" applyNumberFormat="1" applyFont="1" applyFill="1" applyBorder="1" applyAlignment="1">
      <alignment horizontal="left" vertical="center"/>
    </xf>
    <xf numFmtId="40" fontId="16" fillId="0" borderId="53" xfId="0" applyNumberFormat="1" applyFont="1" applyFill="1" applyBorder="1" applyAlignment="1">
      <alignment horizontal="left" vertical="center"/>
    </xf>
    <xf numFmtId="40" fontId="16" fillId="0" borderId="16" xfId="0" applyNumberFormat="1" applyFont="1" applyFill="1" applyBorder="1" applyAlignment="1">
      <alignment horizontal="left" vertical="center"/>
    </xf>
    <xf numFmtId="40" fontId="20" fillId="0" borderId="53" xfId="0" applyNumberFormat="1" applyFont="1" applyFill="1" applyBorder="1" applyAlignment="1">
      <alignment horizontal="left" vertical="center"/>
    </xf>
    <xf numFmtId="40" fontId="20" fillId="0" borderId="16" xfId="0" applyNumberFormat="1" applyFont="1" applyFill="1" applyBorder="1" applyAlignment="1">
      <alignment horizontal="left" vertical="center"/>
    </xf>
    <xf numFmtId="40" fontId="20" fillId="0" borderId="23" xfId="0" applyNumberFormat="1" applyFont="1" applyFill="1" applyBorder="1" applyAlignment="1">
      <alignment horizontal="left" vertical="center"/>
    </xf>
    <xf numFmtId="40" fontId="20" fillId="0" borderId="17" xfId="0" applyNumberFormat="1" applyFont="1" applyFill="1" applyBorder="1" applyAlignment="1">
      <alignment horizontal="left" vertical="center"/>
    </xf>
    <xf numFmtId="40" fontId="16" fillId="0" borderId="56" xfId="0" applyNumberFormat="1" applyFont="1" applyFill="1" applyBorder="1" applyAlignment="1">
      <alignment horizontal="left" vertical="center"/>
    </xf>
    <xf numFmtId="40" fontId="16" fillId="0" borderId="57" xfId="0" applyNumberFormat="1" applyFont="1" applyFill="1" applyBorder="1" applyAlignment="1">
      <alignment horizontal="left" vertical="center"/>
    </xf>
    <xf numFmtId="40" fontId="16" fillId="0" borderId="54" xfId="0" applyNumberFormat="1" applyFont="1" applyFill="1" applyBorder="1" applyAlignment="1">
      <alignment horizontal="left" vertical="center"/>
    </xf>
    <xf numFmtId="40" fontId="16" fillId="0" borderId="46" xfId="0" applyNumberFormat="1" applyFont="1" applyFill="1" applyBorder="1" applyAlignment="1">
      <alignment horizontal="left" vertical="center"/>
    </xf>
    <xf numFmtId="40" fontId="16" fillId="0" borderId="67" xfId="0" applyNumberFormat="1" applyFont="1" applyFill="1" applyBorder="1" applyAlignment="1">
      <alignment horizontal="left" vertical="center"/>
    </xf>
    <xf numFmtId="40" fontId="99" fillId="0" borderId="49" xfId="0" applyNumberFormat="1" applyFont="1" applyFill="1" applyBorder="1" applyAlignment="1">
      <alignment horizontal="left" vertical="center"/>
    </xf>
    <xf numFmtId="40" fontId="99" fillId="0" borderId="16" xfId="0" applyNumberFormat="1" applyFont="1" applyFill="1" applyBorder="1" applyAlignment="1">
      <alignment horizontal="left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4" fontId="16" fillId="0" borderId="60" xfId="0" applyNumberFormat="1" applyFont="1" applyFill="1" applyBorder="1" applyAlignment="1">
      <alignment horizontal="center" vertical="center"/>
    </xf>
    <xf numFmtId="4" fontId="16" fillId="0" borderId="66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9" fontId="0" fillId="0" borderId="67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27" fillId="34" borderId="12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37" fontId="12" fillId="0" borderId="25" xfId="0" applyNumberFormat="1" applyFont="1" applyFill="1" applyBorder="1" applyAlignment="1">
      <alignment horizontal="center" vertical="center"/>
    </xf>
    <xf numFmtId="37" fontId="12" fillId="0" borderId="18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71" fontId="4" fillId="0" borderId="41" xfId="63" applyFont="1" applyFill="1" applyBorder="1" applyAlignment="1" applyProtection="1">
      <alignment horizontal="center" vertical="top" wrapText="1"/>
      <protection/>
    </xf>
    <xf numFmtId="171" fontId="4" fillId="0" borderId="62" xfId="63" applyFont="1" applyFill="1" applyBorder="1" applyAlignment="1" applyProtection="1">
      <alignment horizontal="center" vertical="top" wrapText="1"/>
      <protection/>
    </xf>
    <xf numFmtId="171" fontId="4" fillId="39" borderId="41" xfId="63" applyFont="1" applyFill="1" applyBorder="1" applyAlignment="1" applyProtection="1">
      <alignment horizontal="center" vertical="center" wrapText="1"/>
      <protection/>
    </xf>
    <xf numFmtId="171" fontId="4" fillId="39" borderId="40" xfId="63" applyFont="1" applyFill="1" applyBorder="1" applyAlignment="1" applyProtection="1">
      <alignment horizontal="center" vertical="center" wrapText="1"/>
      <protection/>
    </xf>
    <xf numFmtId="171" fontId="4" fillId="39" borderId="62" xfId="63" applyFont="1" applyFill="1" applyBorder="1" applyAlignment="1" applyProtection="1">
      <alignment horizontal="center" vertical="center" wrapText="1"/>
      <protection/>
    </xf>
    <xf numFmtId="171" fontId="4" fillId="0" borderId="38" xfId="63" applyFont="1" applyFill="1" applyBorder="1" applyAlignment="1" applyProtection="1">
      <alignment horizontal="center" vertical="top" wrapText="1"/>
      <protection/>
    </xf>
    <xf numFmtId="49" fontId="3" fillId="0" borderId="74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171" fontId="4" fillId="0" borderId="25" xfId="63" applyFont="1" applyFill="1" applyBorder="1" applyAlignment="1" applyProtection="1">
      <alignment horizontal="center" vertical="center"/>
      <protection/>
    </xf>
    <xf numFmtId="171" fontId="4" fillId="0" borderId="18" xfId="63" applyFont="1" applyFill="1" applyBorder="1" applyAlignment="1" applyProtection="1">
      <alignment horizontal="center" vertical="center"/>
      <protection/>
    </xf>
    <xf numFmtId="171" fontId="3" fillId="0" borderId="25" xfId="63" applyFont="1" applyFill="1" applyBorder="1" applyAlignment="1" applyProtection="1">
      <alignment horizontal="center" vertical="center"/>
      <protection/>
    </xf>
    <xf numFmtId="171" fontId="3" fillId="0" borderId="18" xfId="63" applyFont="1" applyFill="1" applyBorder="1" applyAlignment="1" applyProtection="1">
      <alignment horizontal="center" vertical="center"/>
      <protection/>
    </xf>
    <xf numFmtId="171" fontId="3" fillId="0" borderId="13" xfId="63" applyFont="1" applyFill="1" applyBorder="1" applyAlignment="1" applyProtection="1">
      <alignment horizontal="center" vertical="center"/>
      <protection/>
    </xf>
    <xf numFmtId="171" fontId="3" fillId="0" borderId="46" xfId="63" applyFont="1" applyFill="1" applyBorder="1" applyAlignment="1" applyProtection="1">
      <alignment horizontal="center" vertical="center"/>
      <protection/>
    </xf>
    <xf numFmtId="171" fontId="4" fillId="0" borderId="33" xfId="63" applyFont="1" applyFill="1" applyBorder="1" applyAlignment="1" applyProtection="1">
      <alignment horizontal="center" vertical="center" wrapText="1"/>
      <protection/>
    </xf>
    <xf numFmtId="171" fontId="4" fillId="0" borderId="32" xfId="63" applyFont="1" applyFill="1" applyBorder="1" applyAlignment="1" applyProtection="1">
      <alignment horizontal="center" vertical="center" wrapText="1"/>
      <protection/>
    </xf>
    <xf numFmtId="171" fontId="4" fillId="0" borderId="57" xfId="63" applyFont="1" applyFill="1" applyBorder="1" applyAlignment="1" applyProtection="1">
      <alignment horizontal="center" vertical="center" wrapText="1"/>
      <protection/>
    </xf>
    <xf numFmtId="171" fontId="3" fillId="0" borderId="13" xfId="63" applyFont="1" applyFill="1" applyBorder="1" applyAlignment="1" applyProtection="1">
      <alignment horizontal="center" vertical="center" wrapText="1"/>
      <protection/>
    </xf>
    <xf numFmtId="171" fontId="3" fillId="0" borderId="46" xfId="63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71" fontId="4" fillId="0" borderId="25" xfId="63" applyFont="1" applyFill="1" applyBorder="1" applyAlignment="1" applyProtection="1">
      <alignment horizontal="center" vertical="center" wrapText="1"/>
      <protection/>
    </xf>
    <xf numFmtId="171" fontId="4" fillId="0" borderId="61" xfId="63" applyFont="1" applyFill="1" applyBorder="1" applyAlignment="1" applyProtection="1">
      <alignment horizontal="center" vertical="center" wrapText="1"/>
      <protection/>
    </xf>
    <xf numFmtId="171" fontId="4" fillId="0" borderId="18" xfId="63" applyFont="1" applyFill="1" applyBorder="1" applyAlignment="1" applyProtection="1">
      <alignment horizontal="center" vertical="center" wrapText="1"/>
      <protection/>
    </xf>
    <xf numFmtId="171" fontId="4" fillId="39" borderId="25" xfId="63" applyFont="1" applyFill="1" applyBorder="1" applyAlignment="1" applyProtection="1">
      <alignment horizontal="center" vertical="center"/>
      <protection/>
    </xf>
    <xf numFmtId="171" fontId="4" fillId="39" borderId="18" xfId="63" applyFont="1" applyFill="1" applyBorder="1" applyAlignment="1" applyProtection="1">
      <alignment horizontal="center" vertical="center"/>
      <protection/>
    </xf>
    <xf numFmtId="171" fontId="4" fillId="39" borderId="61" xfId="63" applyFont="1" applyFill="1" applyBorder="1" applyAlignment="1" applyProtection="1">
      <alignment horizontal="center" vertical="center"/>
      <protection/>
    </xf>
    <xf numFmtId="171" fontId="4" fillId="39" borderId="47" xfId="63" applyFont="1" applyFill="1" applyBorder="1" applyAlignment="1" applyProtection="1">
      <alignment horizontal="center" vertical="center"/>
      <protection/>
    </xf>
    <xf numFmtId="37" fontId="4" fillId="39" borderId="13" xfId="0" applyNumberFormat="1" applyFont="1" applyFill="1" applyBorder="1" applyAlignment="1">
      <alignment horizontal="center" vertical="center" wrapText="1"/>
    </xf>
    <xf numFmtId="37" fontId="4" fillId="39" borderId="46" xfId="0" applyNumberFormat="1" applyFont="1" applyFill="1" applyBorder="1" applyAlignment="1">
      <alignment horizontal="center" vertical="center" wrapText="1"/>
    </xf>
    <xf numFmtId="37" fontId="4" fillId="39" borderId="11" xfId="0" applyNumberFormat="1" applyFont="1" applyFill="1" applyBorder="1" applyAlignment="1">
      <alignment horizontal="center" vertical="center" wrapText="1"/>
    </xf>
    <xf numFmtId="37" fontId="4" fillId="39" borderId="16" xfId="0" applyNumberFormat="1" applyFont="1" applyFill="1" applyBorder="1" applyAlignment="1">
      <alignment horizontal="center" vertical="center" wrapText="1"/>
    </xf>
    <xf numFmtId="37" fontId="4" fillId="39" borderId="15" xfId="0" applyNumberFormat="1" applyFont="1" applyFill="1" applyBorder="1" applyAlignment="1">
      <alignment horizontal="center" vertical="center" wrapText="1"/>
    </xf>
    <xf numFmtId="37" fontId="4" fillId="39" borderId="17" xfId="0" applyNumberFormat="1" applyFont="1" applyFill="1" applyBorder="1" applyAlignment="1">
      <alignment horizontal="center" vertical="center" wrapText="1"/>
    </xf>
    <xf numFmtId="171" fontId="4" fillId="0" borderId="32" xfId="63" applyFont="1" applyFill="1" applyBorder="1" applyAlignment="1" applyProtection="1">
      <alignment horizontal="center" vertical="top" wrapText="1"/>
      <protection/>
    </xf>
    <xf numFmtId="171" fontId="4" fillId="0" borderId="50" xfId="63" applyFont="1" applyFill="1" applyBorder="1" applyAlignment="1" applyProtection="1">
      <alignment horizontal="center" vertical="top" wrapText="1"/>
      <protection/>
    </xf>
    <xf numFmtId="37" fontId="4" fillId="39" borderId="72" xfId="0" applyNumberFormat="1" applyFont="1" applyFill="1" applyBorder="1" applyAlignment="1">
      <alignment horizontal="center" vertical="center" wrapText="1"/>
    </xf>
    <xf numFmtId="0" fontId="4" fillId="39" borderId="44" xfId="0" applyFont="1" applyFill="1" applyBorder="1" applyAlignment="1">
      <alignment horizontal="center" vertical="center" wrapText="1"/>
    </xf>
    <xf numFmtId="0" fontId="4" fillId="39" borderId="32" xfId="0" applyFont="1" applyFill="1" applyBorder="1" applyAlignment="1">
      <alignment horizontal="center" vertical="center" wrapText="1"/>
    </xf>
    <xf numFmtId="0" fontId="4" fillId="39" borderId="49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 wrapText="1"/>
    </xf>
    <xf numFmtId="0" fontId="4" fillId="39" borderId="50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4" fillId="39" borderId="51" xfId="0" applyFont="1" applyFill="1" applyBorder="1" applyAlignment="1">
      <alignment horizontal="center" vertical="top" wrapText="1"/>
    </xf>
    <xf numFmtId="0" fontId="4" fillId="39" borderId="30" xfId="0" applyFont="1" applyFill="1" applyBorder="1" applyAlignment="1">
      <alignment horizontal="center" vertical="top" wrapText="1"/>
    </xf>
    <xf numFmtId="0" fontId="4" fillId="39" borderId="51" xfId="0" applyFont="1" applyFill="1" applyBorder="1" applyAlignment="1">
      <alignment horizontal="center" vertical="center" wrapText="1"/>
    </xf>
    <xf numFmtId="0" fontId="4" fillId="39" borderId="52" xfId="0" applyFont="1" applyFill="1" applyBorder="1" applyAlignment="1">
      <alignment horizontal="center" vertical="center" wrapText="1"/>
    </xf>
    <xf numFmtId="171" fontId="4" fillId="0" borderId="38" xfId="63" applyFont="1" applyFill="1" applyBorder="1" applyAlignment="1" applyProtection="1">
      <alignment horizontal="center" vertical="center" wrapText="1"/>
      <protection/>
    </xf>
    <xf numFmtId="171" fontId="103" fillId="39" borderId="41" xfId="84" applyFont="1" applyFill="1" applyBorder="1" applyAlignment="1">
      <alignment horizontal="center" vertical="center" wrapText="1"/>
    </xf>
    <xf numFmtId="171" fontId="103" fillId="39" borderId="62" xfId="84" applyFont="1" applyFill="1" applyBorder="1" applyAlignment="1">
      <alignment horizontal="center" vertical="center" wrapText="1"/>
    </xf>
    <xf numFmtId="171" fontId="103" fillId="39" borderId="41" xfId="84" applyFont="1" applyFill="1" applyBorder="1" applyAlignment="1">
      <alignment horizontal="center" vertical="center"/>
    </xf>
    <xf numFmtId="171" fontId="103" fillId="39" borderId="40" xfId="84" applyFont="1" applyFill="1" applyBorder="1" applyAlignment="1">
      <alignment horizontal="center" vertical="center"/>
    </xf>
    <xf numFmtId="171" fontId="103" fillId="39" borderId="62" xfId="84" applyFont="1" applyFill="1" applyBorder="1" applyAlignment="1">
      <alignment horizontal="center" vertical="center"/>
    </xf>
    <xf numFmtId="0" fontId="4" fillId="39" borderId="41" xfId="0" applyFont="1" applyFill="1" applyBorder="1" applyAlignment="1">
      <alignment horizontal="center" vertical="center"/>
    </xf>
    <xf numFmtId="0" fontId="4" fillId="39" borderId="40" xfId="0" applyFont="1" applyFill="1" applyBorder="1" applyAlignment="1">
      <alignment horizontal="center" vertical="center"/>
    </xf>
    <xf numFmtId="0" fontId="4" fillId="39" borderId="62" xfId="0" applyFont="1" applyFill="1" applyBorder="1" applyAlignment="1">
      <alignment horizontal="center" vertical="center"/>
    </xf>
    <xf numFmtId="171" fontId="4" fillId="0" borderId="28" xfId="63" applyFont="1" applyFill="1" applyBorder="1" applyAlignment="1" applyProtection="1">
      <alignment horizontal="center" vertical="center" wrapText="1"/>
      <protection/>
    </xf>
    <xf numFmtId="171" fontId="4" fillId="0" borderId="82" xfId="63" applyFont="1" applyFill="1" applyBorder="1" applyAlignment="1" applyProtection="1">
      <alignment horizontal="center" vertical="center" wrapText="1"/>
      <protection/>
    </xf>
    <xf numFmtId="171" fontId="4" fillId="0" borderId="83" xfId="63" applyFont="1" applyFill="1" applyBorder="1" applyAlignment="1" applyProtection="1">
      <alignment horizontal="center" vertical="center" wrapText="1"/>
      <protection/>
    </xf>
    <xf numFmtId="0" fontId="4" fillId="39" borderId="80" xfId="0" applyFont="1" applyFill="1" applyBorder="1" applyAlignment="1">
      <alignment horizontal="center" vertical="center" wrapText="1"/>
    </xf>
    <xf numFmtId="0" fontId="4" fillId="39" borderId="67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37" fontId="4" fillId="0" borderId="72" xfId="0" applyNumberFormat="1" applyFont="1" applyBorder="1" applyAlignment="1">
      <alignment horizontal="center" vertical="center" wrapText="1"/>
    </xf>
    <xf numFmtId="37" fontId="4" fillId="0" borderId="13" xfId="0" applyNumberFormat="1" applyFont="1" applyFill="1" applyBorder="1" applyAlignment="1">
      <alignment horizontal="center" vertical="center" wrapText="1"/>
    </xf>
    <xf numFmtId="37" fontId="4" fillId="0" borderId="46" xfId="0" applyNumberFormat="1" applyFont="1" applyFill="1" applyBorder="1" applyAlignment="1">
      <alignment horizontal="center" vertical="center" wrapText="1"/>
    </xf>
    <xf numFmtId="37" fontId="4" fillId="0" borderId="11" xfId="0" applyNumberFormat="1" applyFont="1" applyFill="1" applyBorder="1" applyAlignment="1">
      <alignment horizontal="center" vertical="center" wrapText="1"/>
    </xf>
    <xf numFmtId="37" fontId="4" fillId="0" borderId="16" xfId="0" applyNumberFormat="1" applyFont="1" applyFill="1" applyBorder="1" applyAlignment="1">
      <alignment horizontal="center" vertical="center" wrapText="1"/>
    </xf>
    <xf numFmtId="37" fontId="4" fillId="0" borderId="15" xfId="0" applyNumberFormat="1" applyFont="1" applyFill="1" applyBorder="1" applyAlignment="1">
      <alignment horizontal="center" vertical="center" wrapText="1"/>
    </xf>
    <xf numFmtId="37" fontId="4" fillId="0" borderId="17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1" fontId="3" fillId="34" borderId="25" xfId="63" applyFont="1" applyFill="1" applyBorder="1" applyAlignment="1" applyProtection="1">
      <alignment horizontal="center" vertical="center" wrapText="1"/>
      <protection/>
    </xf>
    <xf numFmtId="171" fontId="3" fillId="34" borderId="61" xfId="63" applyFont="1" applyFill="1" applyBorder="1" applyAlignment="1" applyProtection="1">
      <alignment horizontal="center" vertical="center" wrapText="1"/>
      <protection/>
    </xf>
    <xf numFmtId="171" fontId="3" fillId="34" borderId="47" xfId="63" applyFont="1" applyFill="1" applyBorder="1" applyAlignment="1" applyProtection="1">
      <alignment horizontal="center" vertical="center" wrapText="1"/>
      <protection/>
    </xf>
    <xf numFmtId="171" fontId="4" fillId="0" borderId="47" xfId="63" applyFont="1" applyFill="1" applyBorder="1" applyAlignment="1" applyProtection="1">
      <alignment horizontal="center" vertical="center" wrapText="1"/>
      <protection/>
    </xf>
    <xf numFmtId="171" fontId="3" fillId="0" borderId="25" xfId="63" applyFont="1" applyFill="1" applyBorder="1" applyAlignment="1" applyProtection="1">
      <alignment horizontal="center" vertical="center" wrapText="1"/>
      <protection/>
    </xf>
    <xf numFmtId="171" fontId="3" fillId="0" borderId="61" xfId="63" applyFont="1" applyFill="1" applyBorder="1" applyAlignment="1" applyProtection="1">
      <alignment horizontal="center" vertical="center" wrapText="1"/>
      <protection/>
    </xf>
    <xf numFmtId="171" fontId="3" fillId="0" borderId="18" xfId="63" applyFont="1" applyFill="1" applyBorder="1" applyAlignment="1" applyProtection="1">
      <alignment horizontal="center" vertical="center" wrapText="1"/>
      <protection/>
    </xf>
    <xf numFmtId="39" fontId="3" fillId="0" borderId="25" xfId="0" applyNumberFormat="1" applyFont="1" applyFill="1" applyBorder="1" applyAlignment="1">
      <alignment horizontal="center" vertical="center" wrapText="1"/>
    </xf>
    <xf numFmtId="39" fontId="3" fillId="0" borderId="61" xfId="0" applyNumberFormat="1" applyFont="1" applyFill="1" applyBorder="1" applyAlignment="1">
      <alignment horizontal="center" vertical="center" wrapText="1"/>
    </xf>
    <xf numFmtId="39" fontId="3" fillId="0" borderId="47" xfId="0" applyNumberFormat="1" applyFont="1" applyFill="1" applyBorder="1" applyAlignment="1">
      <alignment horizontal="center" vertical="center" wrapText="1"/>
    </xf>
    <xf numFmtId="0" fontId="4" fillId="39" borderId="72" xfId="0" applyFont="1" applyFill="1" applyBorder="1" applyAlignment="1">
      <alignment horizontal="center" vertical="center" wrapText="1"/>
    </xf>
    <xf numFmtId="0" fontId="4" fillId="39" borderId="57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4" fillId="39" borderId="39" xfId="0" applyFont="1" applyFill="1" applyBorder="1" applyAlignment="1">
      <alignment horizontal="center" vertical="center" wrapText="1"/>
    </xf>
    <xf numFmtId="0" fontId="4" fillId="39" borderId="65" xfId="0" applyFont="1" applyFill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171" fontId="4" fillId="0" borderId="77" xfId="63" applyFont="1" applyFill="1" applyBorder="1" applyAlignment="1" applyProtection="1">
      <alignment horizontal="center" vertical="center"/>
      <protection/>
    </xf>
    <xf numFmtId="171" fontId="4" fillId="0" borderId="63" xfId="63" applyFont="1" applyFill="1" applyBorder="1" applyAlignment="1" applyProtection="1">
      <alignment horizontal="center" vertical="center"/>
      <protection/>
    </xf>
    <xf numFmtId="171" fontId="4" fillId="0" borderId="73" xfId="63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>
      <alignment horizontal="left" vertical="top" wrapText="1"/>
    </xf>
    <xf numFmtId="171" fontId="4" fillId="0" borderId="40" xfId="63" applyFont="1" applyFill="1" applyBorder="1" applyAlignment="1" applyProtection="1">
      <alignment horizontal="center" vertical="top" wrapText="1"/>
      <protection/>
    </xf>
    <xf numFmtId="37" fontId="4" fillId="0" borderId="13" xfId="0" applyNumberFormat="1" applyFont="1" applyFill="1" applyBorder="1" applyAlignment="1">
      <alignment horizontal="center" vertical="center"/>
    </xf>
    <xf numFmtId="37" fontId="4" fillId="0" borderId="34" xfId="0" applyNumberFormat="1" applyFont="1" applyFill="1" applyBorder="1" applyAlignment="1">
      <alignment horizontal="center" vertical="center"/>
    </xf>
    <xf numFmtId="37" fontId="4" fillId="0" borderId="48" xfId="0" applyNumberFormat="1" applyFont="1" applyFill="1" applyBorder="1" applyAlignment="1">
      <alignment horizontal="center" vertical="center"/>
    </xf>
    <xf numFmtId="37" fontId="4" fillId="0" borderId="15" xfId="0" applyNumberFormat="1" applyFont="1" applyFill="1" applyBorder="1" applyAlignment="1">
      <alignment horizontal="center" vertical="center"/>
    </xf>
    <xf numFmtId="37" fontId="4" fillId="0" borderId="39" xfId="0" applyNumberFormat="1" applyFont="1" applyFill="1" applyBorder="1" applyAlignment="1">
      <alignment horizontal="center" vertical="center"/>
    </xf>
    <xf numFmtId="37" fontId="4" fillId="0" borderId="65" xfId="0" applyNumberFormat="1" applyFont="1" applyFill="1" applyBorder="1" applyAlignment="1">
      <alignment horizontal="center" vertical="center"/>
    </xf>
    <xf numFmtId="171" fontId="3" fillId="0" borderId="61" xfId="63" applyFont="1" applyFill="1" applyBorder="1" applyAlignment="1" applyProtection="1">
      <alignment horizontal="center" vertical="center"/>
      <protection/>
    </xf>
    <xf numFmtId="171" fontId="3" fillId="0" borderId="47" xfId="63" applyFont="1" applyFill="1" applyBorder="1" applyAlignment="1" applyProtection="1">
      <alignment horizontal="center" vertical="center"/>
      <protection/>
    </xf>
    <xf numFmtId="171" fontId="102" fillId="39" borderId="25" xfId="63" applyFont="1" applyFill="1" applyBorder="1" applyAlignment="1" applyProtection="1">
      <alignment horizontal="center" vertical="center" wrapText="1"/>
      <protection/>
    </xf>
    <xf numFmtId="171" fontId="102" fillId="39" borderId="18" xfId="63" applyFont="1" applyFill="1" applyBorder="1" applyAlignment="1" applyProtection="1">
      <alignment horizontal="center" vertical="center" wrapText="1"/>
      <protection/>
    </xf>
    <xf numFmtId="171" fontId="102" fillId="39" borderId="61" xfId="63" applyFont="1" applyFill="1" applyBorder="1" applyAlignment="1" applyProtection="1">
      <alignment horizontal="center" vertical="center" wrapText="1"/>
      <protection/>
    </xf>
    <xf numFmtId="171" fontId="3" fillId="39" borderId="25" xfId="63" applyFont="1" applyFill="1" applyBorder="1" applyAlignment="1" applyProtection="1">
      <alignment horizontal="center" vertical="center" wrapText="1"/>
      <protection/>
    </xf>
    <xf numFmtId="171" fontId="3" fillId="39" borderId="61" xfId="63" applyFont="1" applyFill="1" applyBorder="1" applyAlignment="1" applyProtection="1">
      <alignment horizontal="center" vertical="center" wrapText="1"/>
      <protection/>
    </xf>
    <xf numFmtId="171" fontId="3" fillId="39" borderId="18" xfId="63" applyFont="1" applyFill="1" applyBorder="1" applyAlignment="1" applyProtection="1">
      <alignment horizontal="center" vertical="center" wrapText="1"/>
      <protection/>
    </xf>
    <xf numFmtId="171" fontId="4" fillId="0" borderId="61" xfId="63" applyFont="1" applyFill="1" applyBorder="1" applyAlignment="1" applyProtection="1">
      <alignment horizontal="center" vertical="center"/>
      <protection/>
    </xf>
    <xf numFmtId="171" fontId="4" fillId="0" borderId="47" xfId="63" applyFont="1" applyFill="1" applyBorder="1" applyAlignment="1" applyProtection="1">
      <alignment horizontal="center" vertical="center"/>
      <protection/>
    </xf>
    <xf numFmtId="171" fontId="3" fillId="0" borderId="28" xfId="63" applyFont="1" applyFill="1" applyBorder="1" applyAlignment="1" applyProtection="1">
      <alignment horizontal="center" vertical="center" wrapText="1"/>
      <protection/>
    </xf>
    <xf numFmtId="171" fontId="3" fillId="0" borderId="82" xfId="63" applyFont="1" applyFill="1" applyBorder="1" applyAlignment="1" applyProtection="1">
      <alignment horizontal="center" vertical="center" wrapText="1"/>
      <protection/>
    </xf>
    <xf numFmtId="171" fontId="3" fillId="0" borderId="83" xfId="63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0" fontId="16" fillId="39" borderId="38" xfId="0" applyFont="1" applyFill="1" applyBorder="1" applyAlignment="1">
      <alignment horizontal="center" vertical="center"/>
    </xf>
    <xf numFmtId="171" fontId="3" fillId="39" borderId="25" xfId="63" applyFont="1" applyFill="1" applyBorder="1" applyAlignment="1" applyProtection="1">
      <alignment horizontal="center" vertical="center"/>
      <protection/>
    </xf>
    <xf numFmtId="171" fontId="3" fillId="39" borderId="18" xfId="63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>
      <alignment horizontal="center" vertical="center" wrapText="1"/>
    </xf>
    <xf numFmtId="37" fontId="4" fillId="0" borderId="72" xfId="0" applyNumberFormat="1" applyFont="1" applyFill="1" applyBorder="1" applyAlignment="1">
      <alignment horizontal="center" vertical="center" wrapText="1"/>
    </xf>
    <xf numFmtId="171" fontId="4" fillId="39" borderId="41" xfId="63" applyFont="1" applyFill="1" applyBorder="1" applyAlignment="1" applyProtection="1">
      <alignment horizontal="center" vertical="top" wrapText="1"/>
      <protection/>
    </xf>
    <xf numFmtId="171" fontId="4" fillId="39" borderId="62" xfId="63" applyFont="1" applyFill="1" applyBorder="1" applyAlignment="1" applyProtection="1">
      <alignment horizontal="center" vertical="top" wrapText="1"/>
      <protection/>
    </xf>
    <xf numFmtId="171" fontId="4" fillId="39" borderId="40" xfId="63" applyFont="1" applyFill="1" applyBorder="1" applyAlignment="1" applyProtection="1">
      <alignment horizontal="center" vertical="top" wrapText="1"/>
      <protection/>
    </xf>
    <xf numFmtId="0" fontId="4" fillId="39" borderId="16" xfId="0" applyFont="1" applyFill="1" applyBorder="1" applyAlignment="1">
      <alignment horizontal="center" vertical="center" wrapText="1"/>
    </xf>
    <xf numFmtId="171" fontId="3" fillId="0" borderId="0" xfId="63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37" fontId="4" fillId="39" borderId="23" xfId="0" applyNumberFormat="1" applyFont="1" applyFill="1" applyBorder="1" applyAlignment="1">
      <alignment horizontal="center" vertical="center" wrapText="1"/>
    </xf>
    <xf numFmtId="43" fontId="4" fillId="34" borderId="25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37" fontId="4" fillId="0" borderId="34" xfId="0" applyNumberFormat="1" applyFont="1" applyFill="1" applyBorder="1" applyAlignment="1">
      <alignment horizontal="center" vertical="center" wrapText="1"/>
    </xf>
    <xf numFmtId="37" fontId="4" fillId="0" borderId="0" xfId="0" applyNumberFormat="1" applyFont="1" applyFill="1" applyBorder="1" applyAlignment="1">
      <alignment horizontal="center" vertical="center" wrapText="1"/>
    </xf>
    <xf numFmtId="37" fontId="4" fillId="0" borderId="39" xfId="0" applyNumberFormat="1" applyFont="1" applyFill="1" applyBorder="1" applyAlignment="1">
      <alignment horizontal="center" vertical="center" wrapText="1"/>
    </xf>
    <xf numFmtId="171" fontId="0" fillId="0" borderId="38" xfId="84" applyFont="1" applyFill="1" applyBorder="1" applyAlignment="1">
      <alignment horizontal="center" vertical="center"/>
    </xf>
    <xf numFmtId="3" fontId="28" fillId="0" borderId="43" xfId="54" applyNumberFormat="1" applyFont="1" applyFill="1" applyBorder="1" applyAlignment="1">
      <alignment horizontal="center" vertical="center"/>
      <protection/>
    </xf>
    <xf numFmtId="3" fontId="28" fillId="0" borderId="40" xfId="54" applyNumberFormat="1" applyFont="1" applyFill="1" applyBorder="1" applyAlignment="1">
      <alignment horizontal="center" vertical="center"/>
      <protection/>
    </xf>
    <xf numFmtId="3" fontId="28" fillId="0" borderId="62" xfId="54" applyNumberFormat="1" applyFont="1" applyFill="1" applyBorder="1" applyAlignment="1">
      <alignment horizontal="center" vertical="center"/>
      <protection/>
    </xf>
    <xf numFmtId="49" fontId="28" fillId="0" borderId="38" xfId="54" applyNumberFormat="1" applyFont="1" applyFill="1" applyBorder="1" applyAlignment="1">
      <alignment horizontal="center" vertical="center" wrapText="1"/>
      <protection/>
    </xf>
    <xf numFmtId="3" fontId="28" fillId="0" borderId="41" xfId="54" applyNumberFormat="1" applyFont="1" applyFill="1" applyBorder="1" applyAlignment="1">
      <alignment horizontal="center" vertical="center"/>
      <protection/>
    </xf>
    <xf numFmtId="171" fontId="8" fillId="0" borderId="38" xfId="84" applyFont="1" applyFill="1" applyBorder="1" applyAlignment="1">
      <alignment horizontal="center" vertical="center"/>
    </xf>
    <xf numFmtId="171" fontId="4" fillId="0" borderId="51" xfId="71" applyFont="1" applyFill="1" applyBorder="1" applyAlignment="1" applyProtection="1">
      <alignment horizontal="center" vertical="center"/>
      <protection/>
    </xf>
    <xf numFmtId="171" fontId="4" fillId="0" borderId="30" xfId="71" applyFont="1" applyFill="1" applyBorder="1" applyAlignment="1" applyProtection="1">
      <alignment horizontal="center" vertical="center"/>
      <protection/>
    </xf>
    <xf numFmtId="171" fontId="4" fillId="0" borderId="52" xfId="71" applyFont="1" applyFill="1" applyBorder="1" applyAlignment="1" applyProtection="1">
      <alignment horizontal="center" vertical="center"/>
      <protection/>
    </xf>
    <xf numFmtId="4" fontId="3" fillId="0" borderId="11" xfId="84" applyNumberFormat="1" applyFont="1" applyFill="1" applyBorder="1" applyAlignment="1" applyProtection="1">
      <alignment horizontal="right" vertical="center"/>
      <protection/>
    </xf>
    <xf numFmtId="4" fontId="3" fillId="0" borderId="0" xfId="84" applyNumberFormat="1" applyFont="1" applyFill="1" applyBorder="1" applyAlignment="1" applyProtection="1">
      <alignment horizontal="right" vertical="center"/>
      <protection/>
    </xf>
    <xf numFmtId="4" fontId="3" fillId="0" borderId="11" xfId="84" applyNumberFormat="1" applyFont="1" applyFill="1" applyBorder="1" applyAlignment="1" applyProtection="1">
      <alignment horizontal="center" vertical="center"/>
      <protection/>
    </xf>
    <xf numFmtId="4" fontId="3" fillId="0" borderId="21" xfId="84" applyNumberFormat="1" applyFont="1" applyFill="1" applyBorder="1" applyAlignment="1" applyProtection="1">
      <alignment horizontal="center" vertical="center"/>
      <protection/>
    </xf>
    <xf numFmtId="171" fontId="3" fillId="0" borderId="49" xfId="71" applyFont="1" applyFill="1" applyBorder="1" applyAlignment="1" applyProtection="1">
      <alignment horizontal="center" vertical="center"/>
      <protection/>
    </xf>
    <xf numFmtId="171" fontId="3" fillId="0" borderId="0" xfId="71" applyFont="1" applyFill="1" applyBorder="1" applyAlignment="1" applyProtection="1">
      <alignment horizontal="center" vertical="center"/>
      <protection/>
    </xf>
    <xf numFmtId="171" fontId="3" fillId="0" borderId="21" xfId="71" applyFont="1" applyFill="1" applyBorder="1" applyAlignment="1" applyProtection="1">
      <alignment horizontal="center" vertical="center"/>
      <protection/>
    </xf>
    <xf numFmtId="171" fontId="0" fillId="0" borderId="49" xfId="84" applyFill="1" applyBorder="1" applyAlignment="1" applyProtection="1">
      <alignment horizontal="center" vertical="center"/>
      <protection/>
    </xf>
    <xf numFmtId="171" fontId="0" fillId="0" borderId="21" xfId="84" applyFill="1" applyBorder="1" applyAlignment="1" applyProtection="1">
      <alignment horizontal="center" vertical="center"/>
      <protection/>
    </xf>
    <xf numFmtId="171" fontId="4" fillId="0" borderId="49" xfId="71" applyFont="1" applyFill="1" applyBorder="1" applyAlignment="1" applyProtection="1">
      <alignment horizontal="center" vertical="center"/>
      <protection/>
    </xf>
    <xf numFmtId="171" fontId="4" fillId="0" borderId="0" xfId="71" applyFont="1" applyFill="1" applyBorder="1" applyAlignment="1" applyProtection="1">
      <alignment horizontal="center" vertical="center"/>
      <protection/>
    </xf>
    <xf numFmtId="171" fontId="4" fillId="0" borderId="21" xfId="71" applyFont="1" applyFill="1" applyBorder="1" applyAlignment="1" applyProtection="1">
      <alignment horizontal="center" vertical="center"/>
      <protection/>
    </xf>
    <xf numFmtId="171" fontId="3" fillId="0" borderId="49" xfId="84" applyFont="1" applyFill="1" applyBorder="1" applyAlignment="1" applyProtection="1">
      <alignment horizontal="center" vertical="center"/>
      <protection/>
    </xf>
    <xf numFmtId="171" fontId="3" fillId="0" borderId="21" xfId="84" applyFont="1" applyFill="1" applyBorder="1" applyAlignment="1" applyProtection="1">
      <alignment horizontal="center" vertical="center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indent="7"/>
    </xf>
    <xf numFmtId="3" fontId="4" fillId="0" borderId="80" xfId="54" applyNumberFormat="1" applyFont="1" applyFill="1" applyBorder="1" applyAlignment="1">
      <alignment horizontal="center" vertical="center" wrapText="1"/>
      <protection/>
    </xf>
    <xf numFmtId="3" fontId="4" fillId="0" borderId="72" xfId="54" applyNumberFormat="1" applyFont="1" applyFill="1" applyBorder="1" applyAlignment="1">
      <alignment horizontal="center" vertical="center" wrapText="1"/>
      <protection/>
    </xf>
    <xf numFmtId="0" fontId="4" fillId="0" borderId="41" xfId="54" applyFont="1" applyFill="1" applyBorder="1" applyAlignment="1">
      <alignment horizontal="center" vertical="center"/>
      <protection/>
    </xf>
    <xf numFmtId="0" fontId="4" fillId="0" borderId="40" xfId="54" applyFont="1" applyFill="1" applyBorder="1" applyAlignment="1">
      <alignment horizontal="center" vertical="center"/>
      <protection/>
    </xf>
    <xf numFmtId="0" fontId="4" fillId="0" borderId="62" xfId="54" applyFont="1" applyFill="1" applyBorder="1" applyAlignment="1">
      <alignment horizontal="center" vertical="center"/>
      <protection/>
    </xf>
    <xf numFmtId="4" fontId="4" fillId="0" borderId="49" xfId="84" applyNumberFormat="1" applyFont="1" applyFill="1" applyBorder="1" applyAlignment="1" applyProtection="1">
      <alignment horizontal="right" vertical="center"/>
      <protection/>
    </xf>
    <xf numFmtId="4" fontId="4" fillId="0" borderId="21" xfId="84" applyNumberFormat="1" applyFont="1" applyFill="1" applyBorder="1" applyAlignment="1" applyProtection="1">
      <alignment horizontal="right" vertical="center"/>
      <protection/>
    </xf>
    <xf numFmtId="4" fontId="4" fillId="0" borderId="11" xfId="84" applyNumberFormat="1" applyFont="1" applyFill="1" applyBorder="1" applyAlignment="1" applyProtection="1">
      <alignment horizontal="right" vertical="center"/>
      <protection/>
    </xf>
    <xf numFmtId="4" fontId="4" fillId="0" borderId="0" xfId="84" applyNumberFormat="1" applyFont="1" applyFill="1" applyBorder="1" applyAlignment="1" applyProtection="1">
      <alignment horizontal="right" vertical="center"/>
      <protection/>
    </xf>
    <xf numFmtId="3" fontId="8" fillId="0" borderId="56" xfId="54" applyNumberFormat="1" applyFont="1" applyFill="1" applyBorder="1" applyAlignment="1">
      <alignment horizontal="center" vertical="center" wrapText="1"/>
      <protection/>
    </xf>
    <xf numFmtId="3" fontId="8" fillId="0" borderId="53" xfId="54" applyNumberFormat="1" applyFont="1" applyFill="1" applyBorder="1" applyAlignment="1">
      <alignment horizontal="center" vertical="center" wrapText="1"/>
      <protection/>
    </xf>
    <xf numFmtId="3" fontId="8" fillId="0" borderId="23" xfId="54" applyNumberFormat="1" applyFont="1" applyFill="1" applyBorder="1" applyAlignment="1">
      <alignment horizontal="center" vertical="center" wrapText="1"/>
      <protection/>
    </xf>
    <xf numFmtId="3" fontId="27" fillId="0" borderId="84" xfId="54" applyNumberFormat="1" applyFont="1" applyFill="1" applyBorder="1" applyAlignment="1">
      <alignment horizontal="center" vertical="center" wrapText="1"/>
      <protection/>
    </xf>
    <xf numFmtId="3" fontId="27" fillId="0" borderId="15" xfId="54" applyNumberFormat="1" applyFont="1" applyFill="1" applyBorder="1" applyAlignment="1">
      <alignment horizontal="center" vertical="center" wrapText="1"/>
      <protection/>
    </xf>
    <xf numFmtId="3" fontId="27" fillId="0" borderId="25" xfId="54" applyNumberFormat="1" applyFont="1" applyFill="1" applyBorder="1" applyAlignment="1">
      <alignment horizontal="center" vertical="center" wrapText="1"/>
      <protection/>
    </xf>
    <xf numFmtId="3" fontId="4" fillId="0" borderId="11" xfId="54" applyNumberFormat="1" applyFont="1" applyFill="1" applyBorder="1" applyAlignment="1">
      <alignment horizontal="center" vertical="center" wrapText="1"/>
      <protection/>
    </xf>
    <xf numFmtId="3" fontId="4" fillId="0" borderId="0" xfId="54" applyNumberFormat="1" applyFont="1" applyFill="1" applyBorder="1" applyAlignment="1">
      <alignment horizontal="center" vertical="center" wrapText="1"/>
      <protection/>
    </xf>
    <xf numFmtId="3" fontId="4" fillId="0" borderId="15" xfId="54" applyNumberFormat="1" applyFont="1" applyFill="1" applyBorder="1" applyAlignment="1">
      <alignment horizontal="center" vertical="center" wrapText="1"/>
      <protection/>
    </xf>
    <xf numFmtId="3" fontId="4" fillId="0" borderId="39" xfId="54" applyNumberFormat="1" applyFont="1" applyFill="1" applyBorder="1" applyAlignment="1">
      <alignment horizontal="center" vertical="center" wrapText="1"/>
      <protection/>
    </xf>
    <xf numFmtId="4" fontId="4" fillId="0" borderId="13" xfId="84" applyNumberFormat="1" applyFont="1" applyFill="1" applyBorder="1" applyAlignment="1" applyProtection="1">
      <alignment horizontal="right" vertical="center"/>
      <protection/>
    </xf>
    <xf numFmtId="4" fontId="4" fillId="0" borderId="34" xfId="84" applyNumberFormat="1" applyFont="1" applyFill="1" applyBorder="1" applyAlignment="1" applyProtection="1">
      <alignment horizontal="right" vertical="center"/>
      <protection/>
    </xf>
    <xf numFmtId="4" fontId="4" fillId="0" borderId="35" xfId="84" applyNumberFormat="1" applyFont="1" applyFill="1" applyBorder="1" applyAlignment="1" applyProtection="1">
      <alignment horizontal="right" vertical="center"/>
      <protection/>
    </xf>
    <xf numFmtId="4" fontId="4" fillId="0" borderId="52" xfId="84" applyNumberFormat="1" applyFont="1" applyFill="1" applyBorder="1" applyAlignment="1" applyProtection="1">
      <alignment horizontal="right" vertical="center"/>
      <protection/>
    </xf>
    <xf numFmtId="171" fontId="3" fillId="0" borderId="11" xfId="84" applyFont="1" applyFill="1" applyBorder="1" applyAlignment="1" applyProtection="1">
      <alignment horizontal="right" vertical="center"/>
      <protection/>
    </xf>
    <xf numFmtId="171" fontId="3" fillId="0" borderId="0" xfId="84" applyFont="1" applyFill="1" applyBorder="1" applyAlignment="1" applyProtection="1">
      <alignment horizontal="right" vertical="center"/>
      <protection/>
    </xf>
    <xf numFmtId="2" fontId="4" fillId="0" borderId="11" xfId="84" applyNumberFormat="1" applyFont="1" applyFill="1" applyBorder="1" applyAlignment="1" applyProtection="1">
      <alignment horizontal="right" vertical="center"/>
      <protection/>
    </xf>
    <xf numFmtId="2" fontId="4" fillId="0" borderId="0" xfId="84" applyNumberFormat="1" applyFont="1" applyFill="1" applyBorder="1" applyAlignment="1" applyProtection="1">
      <alignment horizontal="right" vertical="center"/>
      <protection/>
    </xf>
    <xf numFmtId="4" fontId="4" fillId="0" borderId="30" xfId="84" applyNumberFormat="1" applyFont="1" applyFill="1" applyBorder="1" applyAlignment="1" applyProtection="1">
      <alignment horizontal="right" vertical="center"/>
      <protection/>
    </xf>
    <xf numFmtId="4" fontId="3" fillId="0" borderId="49" xfId="84" applyNumberFormat="1" applyFont="1" applyFill="1" applyBorder="1" applyAlignment="1" applyProtection="1">
      <alignment horizontal="right" vertical="center"/>
      <protection/>
    </xf>
    <xf numFmtId="171" fontId="0" fillId="0" borderId="11" xfId="84" applyFill="1" applyBorder="1" applyAlignment="1" applyProtection="1">
      <alignment horizontal="right" vertical="center"/>
      <protection/>
    </xf>
    <xf numFmtId="171" fontId="0" fillId="0" borderId="0" xfId="84" applyFill="1" applyBorder="1" applyAlignment="1" applyProtection="1">
      <alignment horizontal="right" vertical="center"/>
      <protection/>
    </xf>
    <xf numFmtId="0" fontId="4" fillId="0" borderId="51" xfId="54" applyFont="1" applyFill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4" fillId="0" borderId="52" xfId="54" applyFont="1" applyFill="1" applyBorder="1" applyAlignment="1">
      <alignment horizontal="center" vertical="center"/>
      <protection/>
    </xf>
    <xf numFmtId="171" fontId="4" fillId="0" borderId="38" xfId="84" applyFont="1" applyFill="1" applyBorder="1" applyAlignment="1">
      <alignment horizontal="center" vertical="center"/>
    </xf>
    <xf numFmtId="171" fontId="4" fillId="0" borderId="41" xfId="71" applyFont="1" applyFill="1" applyBorder="1" applyAlignment="1" applyProtection="1">
      <alignment horizontal="center" vertical="center"/>
      <protection/>
    </xf>
    <xf numFmtId="171" fontId="4" fillId="0" borderId="40" xfId="71" applyFont="1" applyFill="1" applyBorder="1" applyAlignment="1" applyProtection="1">
      <alignment horizontal="center" vertical="center"/>
      <protection/>
    </xf>
    <xf numFmtId="171" fontId="4" fillId="0" borderId="62" xfId="71" applyFont="1" applyFill="1" applyBorder="1" applyAlignment="1" applyProtection="1">
      <alignment horizontal="center" vertical="center"/>
      <protection/>
    </xf>
    <xf numFmtId="171" fontId="4" fillId="0" borderId="63" xfId="71" applyFont="1" applyFill="1" applyBorder="1" applyAlignment="1" applyProtection="1">
      <alignment horizontal="center" vertical="center"/>
      <protection/>
    </xf>
    <xf numFmtId="171" fontId="4" fillId="0" borderId="73" xfId="71" applyFont="1" applyFill="1" applyBorder="1" applyAlignment="1" applyProtection="1">
      <alignment horizontal="center" vertical="center"/>
      <protection/>
    </xf>
    <xf numFmtId="171" fontId="4" fillId="0" borderId="49" xfId="84" applyFont="1" applyFill="1" applyBorder="1" applyAlignment="1" applyProtection="1">
      <alignment horizontal="right" vertical="center"/>
      <protection/>
    </xf>
    <xf numFmtId="171" fontId="4" fillId="0" borderId="0" xfId="84" applyFont="1" applyFill="1" applyBorder="1" applyAlignment="1" applyProtection="1">
      <alignment horizontal="right" vertical="center"/>
      <protection/>
    </xf>
    <xf numFmtId="171" fontId="4" fillId="0" borderId="21" xfId="84" applyFont="1" applyFill="1" applyBorder="1" applyAlignment="1" applyProtection="1">
      <alignment horizontal="right" vertical="center"/>
      <protection/>
    </xf>
    <xf numFmtId="3" fontId="4" fillId="0" borderId="20" xfId="54" applyNumberFormat="1" applyFont="1" applyFill="1" applyBorder="1" applyAlignment="1">
      <alignment horizontal="center" vertical="center"/>
      <protection/>
    </xf>
    <xf numFmtId="3" fontId="4" fillId="0" borderId="22" xfId="54" applyNumberFormat="1" applyFont="1" applyFill="1" applyBorder="1" applyAlignment="1">
      <alignment horizontal="center" vertical="center"/>
      <protection/>
    </xf>
    <xf numFmtId="3" fontId="4" fillId="0" borderId="41" xfId="54" applyNumberFormat="1" applyFont="1" applyFill="1" applyBorder="1" applyAlignment="1">
      <alignment horizontal="center" vertical="center"/>
      <protection/>
    </xf>
    <xf numFmtId="3" fontId="4" fillId="0" borderId="40" xfId="54" applyNumberFormat="1" applyFont="1" applyFill="1" applyBorder="1" applyAlignment="1">
      <alignment horizontal="center" vertical="center"/>
      <protection/>
    </xf>
    <xf numFmtId="3" fontId="4" fillId="0" borderId="62" xfId="54" applyNumberFormat="1" applyFont="1" applyFill="1" applyBorder="1" applyAlignment="1">
      <alignment horizontal="center" vertical="center"/>
      <protection/>
    </xf>
    <xf numFmtId="171" fontId="4" fillId="0" borderId="38" xfId="71" applyFont="1" applyFill="1" applyBorder="1" applyAlignment="1" applyProtection="1">
      <alignment horizontal="center" vertical="center"/>
      <protection/>
    </xf>
    <xf numFmtId="171" fontId="8" fillId="0" borderId="51" xfId="84" applyFont="1" applyFill="1" applyBorder="1" applyAlignment="1">
      <alignment horizontal="center" vertical="center"/>
    </xf>
    <xf numFmtId="171" fontId="8" fillId="0" borderId="30" xfId="84" applyFont="1" applyFill="1" applyBorder="1" applyAlignment="1">
      <alignment horizontal="center" vertical="center"/>
    </xf>
    <xf numFmtId="171" fontId="4" fillId="0" borderId="20" xfId="84" applyFont="1" applyFill="1" applyBorder="1" applyAlignment="1">
      <alignment horizontal="center" vertical="center"/>
    </xf>
    <xf numFmtId="3" fontId="4" fillId="0" borderId="38" xfId="54" applyNumberFormat="1" applyFont="1" applyFill="1" applyBorder="1" applyAlignment="1">
      <alignment horizontal="center" vertical="center" wrapText="1"/>
      <protection/>
    </xf>
    <xf numFmtId="3" fontId="4" fillId="0" borderId="41" xfId="54" applyNumberFormat="1" applyFont="1" applyFill="1" applyBorder="1" applyAlignment="1">
      <alignment horizontal="center" vertical="center" wrapText="1"/>
      <protection/>
    </xf>
    <xf numFmtId="171" fontId="8" fillId="0" borderId="52" xfId="84" applyFont="1" applyFill="1" applyBorder="1" applyAlignment="1">
      <alignment horizontal="center" vertical="center"/>
    </xf>
    <xf numFmtId="171" fontId="4" fillId="0" borderId="44" xfId="71" applyFont="1" applyFill="1" applyBorder="1" applyAlignment="1" applyProtection="1">
      <alignment horizontal="center" vertical="center"/>
      <protection/>
    </xf>
    <xf numFmtId="171" fontId="4" fillId="0" borderId="32" xfId="71" applyFont="1" applyFill="1" applyBorder="1" applyAlignment="1" applyProtection="1">
      <alignment horizontal="center" vertical="center"/>
      <protection/>
    </xf>
    <xf numFmtId="171" fontId="4" fillId="0" borderId="50" xfId="71" applyFont="1" applyFill="1" applyBorder="1" applyAlignment="1" applyProtection="1">
      <alignment horizontal="center" vertical="center"/>
      <protection/>
    </xf>
    <xf numFmtId="171" fontId="8" fillId="0" borderId="41" xfId="84" applyFont="1" applyFill="1" applyBorder="1" applyAlignment="1">
      <alignment horizontal="center" vertical="center"/>
    </xf>
    <xf numFmtId="171" fontId="8" fillId="0" borderId="40" xfId="84" applyFont="1" applyFill="1" applyBorder="1" applyAlignment="1">
      <alignment horizontal="center" vertical="center"/>
    </xf>
    <xf numFmtId="171" fontId="8" fillId="0" borderId="62" xfId="84" applyFont="1" applyFill="1" applyBorder="1" applyAlignment="1">
      <alignment horizontal="center" vertical="center"/>
    </xf>
    <xf numFmtId="171" fontId="8" fillId="0" borderId="32" xfId="84" applyFont="1" applyFill="1" applyBorder="1" applyAlignment="1">
      <alignment horizontal="center" vertical="center"/>
    </xf>
    <xf numFmtId="171" fontId="8" fillId="0" borderId="50" xfId="84" applyFont="1" applyFill="1" applyBorder="1" applyAlignment="1">
      <alignment horizontal="center" vertical="center"/>
    </xf>
    <xf numFmtId="171" fontId="8" fillId="0" borderId="44" xfId="84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56" applyFont="1" applyFill="1" applyBorder="1" applyAlignment="1">
      <alignment horizontal="left" indent="7"/>
      <protection/>
    </xf>
    <xf numFmtId="0" fontId="3" fillId="0" borderId="0" xfId="56" applyFont="1" applyFill="1" applyBorder="1" applyAlignment="1">
      <alignment horizontal="left" indent="8"/>
      <protection/>
    </xf>
    <xf numFmtId="0" fontId="3" fillId="0" borderId="0" xfId="56" applyFont="1" applyFill="1" applyBorder="1" applyAlignment="1">
      <alignment horizontal="left" vertical="center" indent="7"/>
      <protection/>
    </xf>
    <xf numFmtId="0" fontId="4" fillId="0" borderId="72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4" fillId="0" borderId="33" xfId="56" applyFont="1" applyFill="1" applyBorder="1" applyAlignment="1">
      <alignment horizontal="center" vertical="center"/>
      <protection/>
    </xf>
    <xf numFmtId="0" fontId="4" fillId="0" borderId="32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56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85" xfId="56" applyFont="1" applyFill="1" applyBorder="1" applyAlignment="1">
      <alignment horizontal="center" vertical="center"/>
      <protection/>
    </xf>
    <xf numFmtId="0" fontId="4" fillId="0" borderId="86" xfId="56" applyFont="1" applyFill="1" applyBorder="1" applyAlignment="1">
      <alignment horizontal="center" vertical="center"/>
      <protection/>
    </xf>
    <xf numFmtId="0" fontId="4" fillId="0" borderId="87" xfId="56" applyFont="1" applyFill="1" applyBorder="1" applyAlignment="1">
      <alignment horizontal="center" vertical="center"/>
      <protection/>
    </xf>
    <xf numFmtId="0" fontId="4" fillId="38" borderId="48" xfId="50" applyFont="1" applyFill="1" applyBorder="1" applyAlignment="1">
      <alignment horizontal="center" vertical="center" wrapText="1"/>
      <protection/>
    </xf>
    <xf numFmtId="0" fontId="4" fillId="38" borderId="52" xfId="50" applyFont="1" applyFill="1" applyBorder="1" applyAlignment="1">
      <alignment horizontal="center" vertical="center" wrapText="1"/>
      <protection/>
    </xf>
    <xf numFmtId="171" fontId="4" fillId="38" borderId="20" xfId="74" applyNumberFormat="1" applyFont="1" applyFill="1" applyBorder="1" applyAlignment="1" applyProtection="1">
      <alignment horizontal="center" vertical="center" wrapText="1"/>
      <protection/>
    </xf>
    <xf numFmtId="171" fontId="4" fillId="38" borderId="22" xfId="74" applyNumberFormat="1" applyFont="1" applyFill="1" applyBorder="1" applyAlignment="1" applyProtection="1">
      <alignment horizontal="center" vertical="center" wrapText="1"/>
      <protection/>
    </xf>
    <xf numFmtId="0" fontId="4" fillId="38" borderId="50" xfId="50" applyFont="1" applyFill="1" applyBorder="1" applyAlignment="1">
      <alignment horizontal="center" vertical="center" wrapText="1"/>
      <protection/>
    </xf>
    <xf numFmtId="171" fontId="4" fillId="38" borderId="44" xfId="74" applyNumberFormat="1" applyFont="1" applyFill="1" applyBorder="1" applyAlignment="1" applyProtection="1">
      <alignment horizontal="center" vertical="center" wrapText="1"/>
      <protection/>
    </xf>
    <xf numFmtId="171" fontId="4" fillId="38" borderId="50" xfId="74" applyNumberFormat="1" applyFont="1" applyFill="1" applyBorder="1" applyAlignment="1" applyProtection="1">
      <alignment horizontal="center" vertical="center" wrapText="1"/>
      <protection/>
    </xf>
    <xf numFmtId="171" fontId="4" fillId="38" borderId="51" xfId="74" applyNumberFormat="1" applyFont="1" applyFill="1" applyBorder="1" applyAlignment="1" applyProtection="1">
      <alignment horizontal="center" vertical="center" wrapText="1"/>
      <protection/>
    </xf>
    <xf numFmtId="171" fontId="4" fillId="38" borderId="30" xfId="74" applyNumberFormat="1" applyFont="1" applyFill="1" applyBorder="1" applyAlignment="1" applyProtection="1">
      <alignment horizontal="center" vertical="center" wrapText="1"/>
      <protection/>
    </xf>
    <xf numFmtId="171" fontId="93" fillId="34" borderId="0" xfId="74" applyNumberFormat="1" applyFont="1" applyFill="1" applyBorder="1" applyAlignment="1" applyProtection="1">
      <alignment horizontal="center" vertical="center" wrapText="1"/>
      <protection/>
    </xf>
    <xf numFmtId="0" fontId="3" fillId="0" borderId="40" xfId="50" applyFont="1" applyFill="1" applyBorder="1" applyAlignment="1">
      <alignment horizontal="left" vertical="center" wrapText="1"/>
      <protection/>
    </xf>
    <xf numFmtId="0" fontId="3" fillId="0" borderId="62" xfId="50" applyFont="1" applyFill="1" applyBorder="1" applyAlignment="1">
      <alignment horizontal="left" vertical="center" wrapText="1"/>
      <protection/>
    </xf>
    <xf numFmtId="0" fontId="3" fillId="0" borderId="41" xfId="50" applyFont="1" applyFill="1" applyBorder="1" applyAlignment="1">
      <alignment horizontal="center" vertical="center" wrapText="1"/>
      <protection/>
    </xf>
    <xf numFmtId="0" fontId="3" fillId="0" borderId="40" xfId="50" applyFont="1" applyFill="1" applyBorder="1" applyAlignment="1">
      <alignment horizontal="center" vertical="center" wrapText="1"/>
      <protection/>
    </xf>
    <xf numFmtId="0" fontId="3" fillId="0" borderId="62" xfId="50" applyFont="1" applyFill="1" applyBorder="1" applyAlignment="1">
      <alignment horizontal="center" vertical="center" wrapText="1"/>
      <protection/>
    </xf>
    <xf numFmtId="171" fontId="3" fillId="0" borderId="41" xfId="74" applyNumberFormat="1" applyFont="1" applyFill="1" applyBorder="1" applyAlignment="1" applyProtection="1">
      <alignment horizontal="center" vertical="center"/>
      <protection/>
    </xf>
    <xf numFmtId="171" fontId="3" fillId="0" borderId="40" xfId="74" applyNumberFormat="1" applyFont="1" applyFill="1" applyBorder="1" applyAlignment="1" applyProtection="1">
      <alignment horizontal="center" vertical="center"/>
      <protection/>
    </xf>
    <xf numFmtId="0" fontId="4" fillId="0" borderId="40" xfId="50" applyFont="1" applyFill="1" applyBorder="1" applyAlignment="1">
      <alignment horizontal="left" vertical="center" wrapText="1"/>
      <protection/>
    </xf>
    <xf numFmtId="0" fontId="4" fillId="0" borderId="62" xfId="50" applyFont="1" applyFill="1" applyBorder="1" applyAlignment="1">
      <alignment horizontal="left" vertical="center" wrapText="1"/>
      <protection/>
    </xf>
    <xf numFmtId="171" fontId="4" fillId="0" borderId="41" xfId="74" applyNumberFormat="1" applyFont="1" applyFill="1" applyBorder="1" applyAlignment="1" applyProtection="1">
      <alignment horizontal="center" vertical="center"/>
      <protection/>
    </xf>
    <xf numFmtId="171" fontId="4" fillId="0" borderId="40" xfId="74" applyNumberFormat="1" applyFont="1" applyFill="1" applyBorder="1" applyAlignment="1" applyProtection="1">
      <alignment horizontal="center" vertical="center"/>
      <protection/>
    </xf>
    <xf numFmtId="171" fontId="4" fillId="0" borderId="62" xfId="74" applyNumberFormat="1" applyFont="1" applyFill="1" applyBorder="1" applyAlignment="1" applyProtection="1">
      <alignment horizontal="center" vertical="center"/>
      <protection/>
    </xf>
    <xf numFmtId="171" fontId="3" fillId="0" borderId="62" xfId="74" applyNumberFormat="1" applyFont="1" applyFill="1" applyBorder="1" applyAlignment="1" applyProtection="1">
      <alignment horizontal="center" vertical="center"/>
      <protection/>
    </xf>
    <xf numFmtId="43" fontId="3" fillId="0" borderId="41" xfId="50" applyNumberFormat="1" applyFont="1" applyFill="1" applyBorder="1" applyAlignment="1">
      <alignment horizontal="center" vertical="center"/>
      <protection/>
    </xf>
    <xf numFmtId="43" fontId="3" fillId="0" borderId="40" xfId="50" applyNumberFormat="1" applyFont="1" applyFill="1" applyBorder="1" applyAlignment="1">
      <alignment horizontal="center" vertical="center"/>
      <protection/>
    </xf>
    <xf numFmtId="43" fontId="4" fillId="0" borderId="41" xfId="50" applyNumberFormat="1" applyFont="1" applyFill="1" applyBorder="1" applyAlignment="1">
      <alignment horizontal="center" vertical="center"/>
      <protection/>
    </xf>
    <xf numFmtId="43" fontId="4" fillId="0" borderId="40" xfId="50" applyNumberFormat="1" applyFont="1" applyFill="1" applyBorder="1" applyAlignment="1">
      <alignment horizontal="center" vertical="center"/>
      <protection/>
    </xf>
    <xf numFmtId="43" fontId="3" fillId="0" borderId="62" xfId="50" applyNumberFormat="1" applyFont="1" applyFill="1" applyBorder="1" applyAlignment="1">
      <alignment horizontal="center" vertical="center"/>
      <protection/>
    </xf>
    <xf numFmtId="0" fontId="4" fillId="38" borderId="62" xfId="50" applyNumberFormat="1" applyFont="1" applyFill="1" applyBorder="1" applyAlignment="1">
      <alignment horizontal="center" vertical="center"/>
      <protection/>
    </xf>
    <xf numFmtId="0" fontId="4" fillId="38" borderId="38" xfId="50" applyNumberFormat="1" applyFont="1" applyFill="1" applyBorder="1" applyAlignment="1">
      <alignment horizontal="center" vertical="center"/>
      <protection/>
    </xf>
    <xf numFmtId="0" fontId="4" fillId="38" borderId="38" xfId="50" applyFont="1" applyFill="1" applyBorder="1" applyAlignment="1">
      <alignment horizontal="center" vertical="center"/>
      <protection/>
    </xf>
    <xf numFmtId="0" fontId="4" fillId="38" borderId="41" xfId="50" applyFont="1" applyFill="1" applyBorder="1" applyAlignment="1">
      <alignment horizontal="center" vertical="center"/>
      <protection/>
    </xf>
    <xf numFmtId="0" fontId="4" fillId="0" borderId="40" xfId="50" applyFont="1" applyFill="1" applyBorder="1" applyAlignment="1">
      <alignment horizontal="left" vertical="center"/>
      <protection/>
    </xf>
    <xf numFmtId="0" fontId="4" fillId="0" borderId="62" xfId="50" applyFont="1" applyFill="1" applyBorder="1" applyAlignment="1">
      <alignment horizontal="left" vertical="center"/>
      <protection/>
    </xf>
    <xf numFmtId="43" fontId="4" fillId="0" borderId="62" xfId="50" applyNumberFormat="1" applyFont="1" applyFill="1" applyBorder="1" applyAlignment="1">
      <alignment horizontal="center" vertical="center"/>
      <protection/>
    </xf>
    <xf numFmtId="171" fontId="3" fillId="34" borderId="38" xfId="74" applyNumberFormat="1" applyFont="1" applyFill="1" applyBorder="1" applyAlignment="1" applyProtection="1">
      <alignment horizontal="center" vertical="center" wrapText="1"/>
      <protection/>
    </xf>
    <xf numFmtId="171" fontId="3" fillId="0" borderId="38" xfId="74" applyNumberFormat="1" applyFont="1" applyFill="1" applyBorder="1" applyAlignment="1" applyProtection="1">
      <alignment horizontal="center" vertical="center" wrapText="1"/>
      <protection/>
    </xf>
    <xf numFmtId="171" fontId="3" fillId="0" borderId="41" xfId="74" applyNumberFormat="1" applyFont="1" applyFill="1" applyBorder="1" applyAlignment="1" applyProtection="1">
      <alignment horizontal="center" vertical="center" wrapText="1"/>
      <protection/>
    </xf>
    <xf numFmtId="171" fontId="3" fillId="34" borderId="20" xfId="74" applyNumberFormat="1" applyFont="1" applyFill="1" applyBorder="1" applyAlignment="1" applyProtection="1">
      <alignment horizontal="center" vertical="center" wrapText="1"/>
      <protection/>
    </xf>
    <xf numFmtId="171" fontId="4" fillId="34" borderId="51" xfId="74" applyNumberFormat="1" applyFont="1" applyFill="1" applyBorder="1" applyAlignment="1" applyProtection="1">
      <alignment horizontal="center" vertical="center" wrapText="1"/>
      <protection/>
    </xf>
    <xf numFmtId="171" fontId="4" fillId="34" borderId="30" xfId="74" applyNumberFormat="1" applyFont="1" applyFill="1" applyBorder="1" applyAlignment="1" applyProtection="1">
      <alignment horizontal="center" vertical="center" wrapText="1"/>
      <protection/>
    </xf>
    <xf numFmtId="171" fontId="4" fillId="38" borderId="49" xfId="74" applyNumberFormat="1" applyFont="1" applyFill="1" applyBorder="1" applyAlignment="1" applyProtection="1">
      <alignment horizontal="center" vertical="center" wrapText="1"/>
      <protection/>
    </xf>
    <xf numFmtId="171" fontId="4" fillId="38" borderId="0" xfId="74" applyNumberFormat="1" applyFont="1" applyFill="1" applyBorder="1" applyAlignment="1" applyProtection="1">
      <alignment horizontal="center" vertical="center" wrapText="1"/>
      <protection/>
    </xf>
    <xf numFmtId="171" fontId="4" fillId="34" borderId="38" xfId="74" applyNumberFormat="1" applyFont="1" applyFill="1" applyBorder="1" applyAlignment="1" applyProtection="1">
      <alignment horizontal="center" vertical="center" wrapText="1"/>
      <protection/>
    </xf>
    <xf numFmtId="171" fontId="4" fillId="34" borderId="22" xfId="74" applyNumberFormat="1" applyFont="1" applyFill="1" applyBorder="1" applyAlignment="1" applyProtection="1">
      <alignment horizontal="center" vertical="center" wrapText="1"/>
      <protection/>
    </xf>
    <xf numFmtId="0" fontId="4" fillId="34" borderId="62" xfId="50" applyFont="1" applyFill="1" applyBorder="1" applyAlignment="1">
      <alignment horizontal="left" vertical="center" wrapText="1"/>
      <protection/>
    </xf>
    <xf numFmtId="0" fontId="4" fillId="34" borderId="38" xfId="50" applyFont="1" applyFill="1" applyBorder="1" applyAlignment="1">
      <alignment horizontal="left" vertical="center" wrapText="1"/>
      <protection/>
    </xf>
    <xf numFmtId="43" fontId="4" fillId="34" borderId="38" xfId="50" applyNumberFormat="1" applyFont="1" applyFill="1" applyBorder="1" applyAlignment="1">
      <alignment horizontal="center" vertical="center" wrapText="1"/>
      <protection/>
    </xf>
    <xf numFmtId="0" fontId="4" fillId="34" borderId="38" xfId="50" applyFont="1" applyFill="1" applyBorder="1" applyAlignment="1">
      <alignment horizontal="center" vertical="center" wrapText="1"/>
      <protection/>
    </xf>
    <xf numFmtId="0" fontId="4" fillId="0" borderId="62" xfId="50" applyFont="1" applyFill="1" applyBorder="1" applyAlignment="1">
      <alignment horizontal="center" vertical="center" wrapText="1"/>
      <protection/>
    </xf>
    <xf numFmtId="0" fontId="4" fillId="0" borderId="38" xfId="50" applyFont="1" applyFill="1" applyBorder="1" applyAlignment="1">
      <alignment horizontal="center" vertical="center" wrapText="1"/>
      <protection/>
    </xf>
    <xf numFmtId="0" fontId="4" fillId="0" borderId="41" xfId="50" applyFont="1" applyFill="1" applyBorder="1" applyAlignment="1">
      <alignment horizontal="center" vertical="center" wrapText="1"/>
      <protection/>
    </xf>
    <xf numFmtId="0" fontId="4" fillId="38" borderId="62" xfId="50" applyFont="1" applyFill="1" applyBorder="1" applyAlignment="1">
      <alignment horizontal="center" vertical="center" wrapText="1"/>
      <protection/>
    </xf>
    <xf numFmtId="171" fontId="4" fillId="38" borderId="38" xfId="74" applyNumberFormat="1" applyFont="1" applyFill="1" applyBorder="1" applyAlignment="1" applyProtection="1">
      <alignment horizontal="center" vertical="center" wrapText="1"/>
      <protection/>
    </xf>
    <xf numFmtId="171" fontId="4" fillId="38" borderId="41" xfId="74" applyNumberFormat="1" applyFont="1" applyFill="1" applyBorder="1" applyAlignment="1" applyProtection="1">
      <alignment horizontal="center" vertical="center" wrapText="1"/>
      <protection/>
    </xf>
    <xf numFmtId="171" fontId="4" fillId="38" borderId="51" xfId="74" applyNumberFormat="1" applyFont="1" applyFill="1" applyBorder="1" applyAlignment="1" applyProtection="1">
      <alignment horizontal="center" vertical="top" wrapText="1"/>
      <protection/>
    </xf>
    <xf numFmtId="171" fontId="4" fillId="38" borderId="30" xfId="74" applyNumberFormat="1" applyFont="1" applyFill="1" applyBorder="1" applyAlignment="1" applyProtection="1">
      <alignment horizontal="center" vertical="top" wrapText="1"/>
      <protection/>
    </xf>
    <xf numFmtId="0" fontId="4" fillId="0" borderId="38" xfId="50" applyFont="1" applyFill="1" applyBorder="1" applyAlignment="1">
      <alignment horizontal="left" vertical="center" wrapText="1"/>
      <protection/>
    </xf>
    <xf numFmtId="171" fontId="8" fillId="0" borderId="38" xfId="84" applyFont="1" applyFill="1" applyBorder="1" applyAlignment="1">
      <alignment horizontal="center" vertical="center" wrapText="1"/>
    </xf>
    <xf numFmtId="0" fontId="3" fillId="0" borderId="38" xfId="50" applyFont="1" applyFill="1" applyBorder="1" applyAlignment="1">
      <alignment horizontal="left" vertical="center" wrapText="1"/>
      <protection/>
    </xf>
    <xf numFmtId="171" fontId="0" fillId="0" borderId="38" xfId="84" applyFill="1" applyBorder="1" applyAlignment="1">
      <alignment horizontal="center" vertical="center" wrapText="1"/>
    </xf>
    <xf numFmtId="171" fontId="0" fillId="0" borderId="41" xfId="84" applyFill="1" applyBorder="1" applyAlignment="1">
      <alignment horizontal="center" vertical="center" wrapText="1"/>
    </xf>
    <xf numFmtId="43" fontId="4" fillId="0" borderId="22" xfId="50" applyNumberFormat="1" applyFont="1" applyFill="1" applyBorder="1" applyAlignment="1">
      <alignment horizontal="center" vertical="center" wrapText="1"/>
      <protection/>
    </xf>
    <xf numFmtId="0" fontId="4" fillId="0" borderId="22" xfId="50" applyFont="1" applyFill="1" applyBorder="1" applyAlignment="1">
      <alignment horizontal="center" vertical="center" wrapText="1"/>
      <protection/>
    </xf>
    <xf numFmtId="43" fontId="4" fillId="0" borderId="41" xfId="87" applyFont="1" applyFill="1" applyBorder="1" applyAlignment="1">
      <alignment horizontal="center" vertical="center" wrapText="1"/>
    </xf>
    <xf numFmtId="43" fontId="4" fillId="0" borderId="40" xfId="87" applyFont="1" applyFill="1" applyBorder="1" applyAlignment="1">
      <alignment horizontal="center" vertical="center" wrapText="1"/>
    </xf>
    <xf numFmtId="43" fontId="3" fillId="0" borderId="38" xfId="50" applyNumberFormat="1" applyFont="1" applyFill="1" applyBorder="1" applyAlignment="1">
      <alignment horizontal="center" vertical="center" wrapText="1"/>
      <protection/>
    </xf>
    <xf numFmtId="0" fontId="3" fillId="0" borderId="38" xfId="50" applyFont="1" applyFill="1" applyBorder="1" applyAlignment="1">
      <alignment horizontal="center" vertical="center" wrapText="1"/>
      <protection/>
    </xf>
    <xf numFmtId="0" fontId="4" fillId="38" borderId="40" xfId="50" applyFont="1" applyFill="1" applyBorder="1" applyAlignment="1">
      <alignment horizontal="center" vertical="center" wrapText="1"/>
      <protection/>
    </xf>
    <xf numFmtId="0" fontId="4" fillId="38" borderId="32" xfId="50" applyFont="1" applyFill="1" applyBorder="1" applyAlignment="1">
      <alignment horizontal="center" vertical="center" wrapText="1"/>
      <protection/>
    </xf>
    <xf numFmtId="0" fontId="4" fillId="38" borderId="0" xfId="50" applyFont="1" applyFill="1" applyBorder="1" applyAlignment="1">
      <alignment horizontal="center" vertical="center" wrapText="1"/>
      <protection/>
    </xf>
    <xf numFmtId="0" fontId="4" fillId="38" borderId="21" xfId="50" applyFont="1" applyFill="1" applyBorder="1" applyAlignment="1">
      <alignment horizontal="center" vertical="center" wrapText="1"/>
      <protection/>
    </xf>
    <xf numFmtId="0" fontId="4" fillId="38" borderId="30" xfId="50" applyFont="1" applyFill="1" applyBorder="1" applyAlignment="1">
      <alignment horizontal="center" vertical="center" wrapText="1"/>
      <protection/>
    </xf>
    <xf numFmtId="0" fontId="4" fillId="38" borderId="44" xfId="50" applyFont="1" applyFill="1" applyBorder="1" applyAlignment="1">
      <alignment horizontal="center" vertical="center" wrapText="1"/>
      <protection/>
    </xf>
    <xf numFmtId="0" fontId="4" fillId="38" borderId="49" xfId="50" applyFont="1" applyFill="1" applyBorder="1" applyAlignment="1">
      <alignment horizontal="center" vertical="center" wrapText="1"/>
      <protection/>
    </xf>
    <xf numFmtId="0" fontId="4" fillId="38" borderId="51" xfId="50" applyFont="1" applyFill="1" applyBorder="1" applyAlignment="1">
      <alignment horizontal="center" vertical="center" wrapText="1"/>
      <protection/>
    </xf>
    <xf numFmtId="43" fontId="4" fillId="0" borderId="62" xfId="87" applyFont="1" applyFill="1" applyBorder="1" applyAlignment="1">
      <alignment horizontal="center" vertical="center" wrapText="1"/>
    </xf>
    <xf numFmtId="43" fontId="3" fillId="0" borderId="38" xfId="50" applyNumberFormat="1" applyFont="1" applyFill="1" applyBorder="1" applyAlignment="1">
      <alignment horizontal="center" vertical="center"/>
      <protection/>
    </xf>
    <xf numFmtId="0" fontId="3" fillId="0" borderId="38" xfId="50" applyFont="1" applyFill="1" applyBorder="1" applyAlignment="1">
      <alignment horizontal="center" vertical="center"/>
      <protection/>
    </xf>
    <xf numFmtId="0" fontId="3" fillId="0" borderId="41" xfId="50" applyFont="1" applyFill="1" applyBorder="1" applyAlignment="1">
      <alignment horizontal="center" vertical="center"/>
      <protection/>
    </xf>
    <xf numFmtId="0" fontId="4" fillId="38" borderId="38" xfId="50" applyFont="1" applyFill="1" applyBorder="1" applyAlignment="1">
      <alignment horizontal="center" vertical="center" wrapText="1"/>
      <protection/>
    </xf>
    <xf numFmtId="172" fontId="4" fillId="38" borderId="38" xfId="50" applyNumberFormat="1" applyFont="1" applyFill="1" applyBorder="1" applyAlignment="1">
      <alignment horizontal="center" vertical="center" wrapText="1"/>
      <protection/>
    </xf>
    <xf numFmtId="172" fontId="4" fillId="38" borderId="41" xfId="50" applyNumberFormat="1" applyFont="1" applyFill="1" applyBorder="1" applyAlignment="1">
      <alignment horizontal="center" vertical="center" wrapText="1"/>
      <protection/>
    </xf>
    <xf numFmtId="49" fontId="4" fillId="38" borderId="62" xfId="50" applyNumberFormat="1" applyFont="1" applyFill="1" applyBorder="1" applyAlignment="1">
      <alignment horizontal="center" vertical="center"/>
      <protection/>
    </xf>
    <xf numFmtId="49" fontId="4" fillId="38" borderId="38" xfId="50" applyNumberFormat="1" applyFont="1" applyFill="1" applyBorder="1" applyAlignment="1">
      <alignment horizontal="center" vertical="center"/>
      <protection/>
    </xf>
    <xf numFmtId="49" fontId="4" fillId="38" borderId="38" xfId="50" applyNumberFormat="1" applyFont="1" applyFill="1" applyBorder="1" applyAlignment="1">
      <alignment horizontal="center" vertical="center" wrapText="1"/>
      <protection/>
    </xf>
    <xf numFmtId="49" fontId="3" fillId="0" borderId="62" xfId="50" applyNumberFormat="1" applyFont="1" applyFill="1" applyBorder="1" applyAlignment="1">
      <alignment horizontal="left" vertical="center"/>
      <protection/>
    </xf>
    <xf numFmtId="49" fontId="3" fillId="0" borderId="38" xfId="50" applyNumberFormat="1" applyFont="1" applyFill="1" applyBorder="1" applyAlignment="1">
      <alignment horizontal="left" vertical="center"/>
      <protection/>
    </xf>
    <xf numFmtId="0" fontId="3" fillId="0" borderId="38" xfId="50" applyNumberFormat="1" applyFont="1" applyFill="1" applyBorder="1" applyAlignment="1">
      <alignment horizontal="center" vertical="center"/>
      <protection/>
    </xf>
    <xf numFmtId="171" fontId="3" fillId="0" borderId="38" xfId="50" applyNumberFormat="1" applyFont="1" applyFill="1" applyBorder="1" applyAlignment="1">
      <alignment horizontal="center" vertical="center"/>
      <protection/>
    </xf>
    <xf numFmtId="2" fontId="3" fillId="34" borderId="38" xfId="74" applyNumberFormat="1" applyFont="1" applyFill="1" applyBorder="1" applyAlignment="1" applyProtection="1">
      <alignment horizontal="center" vertical="center"/>
      <protection/>
    </xf>
    <xf numFmtId="2" fontId="3" fillId="34" borderId="41" xfId="74" applyNumberFormat="1" applyFont="1" applyFill="1" applyBorder="1" applyAlignment="1" applyProtection="1">
      <alignment horizontal="center" vertical="center"/>
      <protection/>
    </xf>
    <xf numFmtId="49" fontId="3" fillId="0" borderId="40" xfId="50" applyNumberFormat="1" applyFont="1" applyFill="1" applyBorder="1" applyAlignment="1">
      <alignment horizontal="left" vertical="center"/>
      <protection/>
    </xf>
    <xf numFmtId="171" fontId="3" fillId="34" borderId="41" xfId="74" applyNumberFormat="1" applyFont="1" applyFill="1" applyBorder="1" applyAlignment="1" applyProtection="1">
      <alignment horizontal="center" vertical="center"/>
      <protection/>
    </xf>
    <xf numFmtId="171" fontId="3" fillId="34" borderId="40" xfId="74" applyNumberFormat="1" applyFont="1" applyFill="1" applyBorder="1" applyAlignment="1" applyProtection="1">
      <alignment horizontal="center" vertical="center"/>
      <protection/>
    </xf>
    <xf numFmtId="171" fontId="0" fillId="34" borderId="41" xfId="84" applyFill="1" applyBorder="1" applyAlignment="1">
      <alignment horizontal="center" vertical="center" wrapText="1"/>
    </xf>
    <xf numFmtId="171" fontId="0" fillId="34" borderId="62" xfId="84" applyFill="1" applyBorder="1" applyAlignment="1">
      <alignment horizontal="center" vertical="center" wrapText="1"/>
    </xf>
    <xf numFmtId="171" fontId="0" fillId="34" borderId="40" xfId="84" applyFill="1" applyBorder="1" applyAlignment="1">
      <alignment horizontal="center" vertical="center" wrapText="1"/>
    </xf>
    <xf numFmtId="43" fontId="4" fillId="38" borderId="44" xfId="50" applyNumberFormat="1" applyFont="1" applyFill="1" applyBorder="1" applyAlignment="1">
      <alignment horizontal="center" vertical="center" wrapText="1"/>
      <protection/>
    </xf>
    <xf numFmtId="43" fontId="4" fillId="38" borderId="41" xfId="50" applyNumberFormat="1" applyFont="1" applyFill="1" applyBorder="1" applyAlignment="1">
      <alignment horizontal="center" vertical="center" wrapText="1"/>
      <protection/>
    </xf>
    <xf numFmtId="0" fontId="4" fillId="38" borderId="41" xfId="50" applyFont="1" applyFill="1" applyBorder="1" applyAlignment="1">
      <alignment horizontal="center" vertical="center" wrapText="1"/>
      <protection/>
    </xf>
    <xf numFmtId="43" fontId="4" fillId="34" borderId="41" xfId="87" applyFont="1" applyFill="1" applyBorder="1" applyAlignment="1">
      <alignment horizontal="center" vertical="center" wrapText="1"/>
    </xf>
    <xf numFmtId="43" fontId="4" fillId="34" borderId="62" xfId="87" applyFont="1" applyFill="1" applyBorder="1" applyAlignment="1">
      <alignment horizontal="center" vertical="center" wrapText="1"/>
    </xf>
    <xf numFmtId="43" fontId="4" fillId="34" borderId="22" xfId="87" applyFont="1" applyFill="1" applyBorder="1" applyAlignment="1">
      <alignment horizontal="center" vertical="center" wrapText="1"/>
    </xf>
    <xf numFmtId="43" fontId="4" fillId="34" borderId="51" xfId="87" applyFont="1" applyFill="1" applyBorder="1" applyAlignment="1">
      <alignment horizontal="center" vertical="center" wrapText="1"/>
    </xf>
    <xf numFmtId="171" fontId="3" fillId="0" borderId="78" xfId="74" applyNumberFormat="1" applyFont="1" applyFill="1" applyBorder="1" applyAlignment="1" applyProtection="1">
      <alignment horizontal="center" vertical="center" wrapText="1"/>
      <protection/>
    </xf>
    <xf numFmtId="171" fontId="3" fillId="0" borderId="73" xfId="74" applyNumberFormat="1" applyFont="1" applyFill="1" applyBorder="1" applyAlignment="1" applyProtection="1">
      <alignment horizontal="center" vertical="center" wrapText="1"/>
      <protection/>
    </xf>
    <xf numFmtId="171" fontId="3" fillId="0" borderId="38" xfId="74" applyNumberFormat="1" applyFont="1" applyFill="1" applyBorder="1" applyAlignment="1" applyProtection="1">
      <alignment horizontal="center" vertical="center"/>
      <protection/>
    </xf>
    <xf numFmtId="0" fontId="3" fillId="0" borderId="20" xfId="50" applyFont="1" applyFill="1" applyBorder="1" applyAlignment="1">
      <alignment horizontal="center" vertical="center"/>
      <protection/>
    </xf>
    <xf numFmtId="171" fontId="4" fillId="0" borderId="38" xfId="50" applyNumberFormat="1" applyFont="1" applyFill="1" applyBorder="1" applyAlignment="1">
      <alignment horizontal="center" vertical="center"/>
      <protection/>
    </xf>
    <xf numFmtId="0" fontId="4" fillId="38" borderId="82" xfId="50" applyFont="1" applyFill="1" applyBorder="1" applyAlignment="1">
      <alignment horizontal="center" vertical="center" wrapText="1"/>
      <protection/>
    </xf>
    <xf numFmtId="171" fontId="4" fillId="38" borderId="54" xfId="74" applyNumberFormat="1" applyFont="1" applyFill="1" applyBorder="1" applyAlignment="1" applyProtection="1">
      <alignment horizontal="center" vertical="center" wrapText="1"/>
      <protection/>
    </xf>
    <xf numFmtId="171" fontId="4" fillId="38" borderId="34" xfId="74" applyNumberFormat="1" applyFont="1" applyFill="1" applyBorder="1" applyAlignment="1" applyProtection="1">
      <alignment horizontal="center" vertical="center" wrapText="1"/>
      <protection/>
    </xf>
    <xf numFmtId="171" fontId="4" fillId="38" borderId="55" xfId="74" applyNumberFormat="1" applyFont="1" applyFill="1" applyBorder="1" applyAlignment="1" applyProtection="1">
      <alignment horizontal="center" vertical="center" wrapText="1"/>
      <protection/>
    </xf>
    <xf numFmtId="43" fontId="3" fillId="0" borderId="70" xfId="50" applyNumberFormat="1" applyFont="1" applyFill="1" applyBorder="1" applyAlignment="1">
      <alignment horizontal="center" vertical="center" wrapText="1"/>
      <protection/>
    </xf>
    <xf numFmtId="0" fontId="3" fillId="0" borderId="88" xfId="50" applyFont="1" applyFill="1" applyBorder="1" applyAlignment="1">
      <alignment horizontal="center" vertical="center" wrapText="1"/>
      <protection/>
    </xf>
    <xf numFmtId="171" fontId="3" fillId="0" borderId="70" xfId="84" applyFont="1" applyFill="1" applyBorder="1" applyAlignment="1">
      <alignment horizontal="center" vertical="center" wrapText="1"/>
    </xf>
    <xf numFmtId="171" fontId="3" fillId="0" borderId="82" xfId="84" applyFont="1" applyFill="1" applyBorder="1" applyAlignment="1">
      <alignment horizontal="center" vertical="center" wrapText="1"/>
    </xf>
    <xf numFmtId="0" fontId="7" fillId="38" borderId="74" xfId="50" applyFont="1" applyFill="1" applyBorder="1" applyAlignment="1">
      <alignment horizontal="center" vertical="center" wrapText="1"/>
      <protection/>
    </xf>
    <xf numFmtId="0" fontId="7" fillId="38" borderId="47" xfId="50" applyFont="1" applyFill="1" applyBorder="1" applyAlignment="1">
      <alignment horizontal="center" vertical="center" wrapText="1"/>
      <protection/>
    </xf>
    <xf numFmtId="0" fontId="8" fillId="38" borderId="78" xfId="50" applyFont="1" applyFill="1" applyBorder="1" applyAlignment="1">
      <alignment horizontal="center" vertical="center" wrapText="1"/>
      <protection/>
    </xf>
    <xf numFmtId="0" fontId="8" fillId="38" borderId="73" xfId="50" applyFont="1" applyFill="1" applyBorder="1" applyAlignment="1">
      <alignment horizontal="center" vertical="center" wrapText="1"/>
      <protection/>
    </xf>
    <xf numFmtId="171" fontId="3" fillId="0" borderId="62" xfId="74" applyNumberFormat="1" applyFont="1" applyFill="1" applyBorder="1" applyAlignment="1" applyProtection="1">
      <alignment horizontal="center" vertical="center" wrapText="1"/>
      <protection/>
    </xf>
    <xf numFmtId="171" fontId="4" fillId="38" borderId="40" xfId="74" applyNumberFormat="1" applyFont="1" applyFill="1" applyBorder="1" applyAlignment="1" applyProtection="1">
      <alignment horizontal="center" vertical="center" wrapText="1"/>
      <protection/>
    </xf>
    <xf numFmtId="171" fontId="3" fillId="0" borderId="22" xfId="74" applyNumberFormat="1" applyFont="1" applyFill="1" applyBorder="1" applyAlignment="1" applyProtection="1">
      <alignment horizontal="center" vertical="center" wrapText="1"/>
      <protection/>
    </xf>
    <xf numFmtId="171" fontId="4" fillId="38" borderId="20" xfId="74" applyNumberFormat="1" applyFont="1" applyFill="1" applyBorder="1" applyAlignment="1" applyProtection="1">
      <alignment horizontal="center" wrapText="1"/>
      <protection/>
    </xf>
    <xf numFmtId="171" fontId="4" fillId="38" borderId="52" xfId="74" applyNumberFormat="1" applyFont="1" applyFill="1" applyBorder="1" applyAlignment="1" applyProtection="1">
      <alignment horizontal="center" vertical="center" wrapText="1"/>
      <protection/>
    </xf>
    <xf numFmtId="171" fontId="4" fillId="38" borderId="32" xfId="74" applyNumberFormat="1" applyFont="1" applyFill="1" applyBorder="1" applyAlignment="1" applyProtection="1">
      <alignment horizontal="center" vertical="center" wrapText="1"/>
      <protection/>
    </xf>
    <xf numFmtId="171" fontId="20" fillId="0" borderId="38" xfId="74" applyNumberFormat="1" applyFont="1" applyFill="1" applyBorder="1" applyAlignment="1" applyProtection="1">
      <alignment horizontal="center" vertical="center" wrapText="1"/>
      <protection/>
    </xf>
    <xf numFmtId="171" fontId="16" fillId="0" borderId="38" xfId="74" applyNumberFormat="1" applyFont="1" applyFill="1" applyBorder="1" applyAlignment="1" applyProtection="1">
      <alignment horizontal="right" vertical="center"/>
      <protection/>
    </xf>
    <xf numFmtId="171" fontId="16" fillId="0" borderId="41" xfId="74" applyNumberFormat="1" applyFont="1" applyFill="1" applyBorder="1" applyAlignment="1" applyProtection="1">
      <alignment horizontal="right" vertical="center"/>
      <protection/>
    </xf>
    <xf numFmtId="171" fontId="16" fillId="0" borderId="38" xfId="74" applyNumberFormat="1" applyFont="1" applyFill="1" applyBorder="1" applyAlignment="1" applyProtection="1">
      <alignment horizontal="center" vertical="center" wrapText="1"/>
      <protection/>
    </xf>
    <xf numFmtId="171" fontId="16" fillId="0" borderId="41" xfId="74" applyNumberFormat="1" applyFont="1" applyFill="1" applyBorder="1" applyAlignment="1" applyProtection="1">
      <alignment horizontal="center" vertical="center" wrapText="1"/>
      <protection/>
    </xf>
    <xf numFmtId="170" fontId="20" fillId="38" borderId="38" xfId="50" applyNumberFormat="1" applyFont="1" applyFill="1" applyBorder="1" applyAlignment="1">
      <alignment horizontal="center" vertical="center"/>
      <protection/>
    </xf>
    <xf numFmtId="170" fontId="20" fillId="38" borderId="41" xfId="50" applyNumberFormat="1" applyFont="1" applyFill="1" applyBorder="1" applyAlignment="1">
      <alignment horizontal="center" vertical="center"/>
      <protection/>
    </xf>
    <xf numFmtId="0" fontId="16" fillId="38" borderId="62" xfId="50" applyFont="1" applyFill="1" applyBorder="1" applyAlignment="1">
      <alignment horizontal="center" vertical="center"/>
      <protection/>
    </xf>
    <xf numFmtId="0" fontId="16" fillId="38" borderId="38" xfId="50" applyFont="1" applyFill="1" applyBorder="1" applyAlignment="1">
      <alignment horizontal="center" vertical="center"/>
      <protection/>
    </xf>
    <xf numFmtId="0" fontId="16" fillId="38" borderId="41" xfId="50" applyFont="1" applyFill="1" applyBorder="1" applyAlignment="1">
      <alignment horizontal="center" vertical="center"/>
      <protection/>
    </xf>
    <xf numFmtId="171" fontId="20" fillId="0" borderId="41" xfId="74" applyNumberFormat="1" applyFont="1" applyFill="1" applyBorder="1" applyAlignment="1" applyProtection="1">
      <alignment horizontal="center" vertical="center" wrapText="1"/>
      <protection/>
    </xf>
    <xf numFmtId="43" fontId="16" fillId="0" borderId="38" xfId="87" applyFont="1" applyFill="1" applyBorder="1" applyAlignment="1" applyProtection="1">
      <alignment horizontal="center" vertical="center" wrapText="1"/>
      <protection/>
    </xf>
    <xf numFmtId="43" fontId="16" fillId="0" borderId="41" xfId="87" applyFont="1" applyFill="1" applyBorder="1" applyAlignment="1" applyProtection="1">
      <alignment horizontal="center" vertical="center" wrapText="1"/>
      <protection/>
    </xf>
    <xf numFmtId="171" fontId="4" fillId="0" borderId="38" xfId="74" applyNumberFormat="1" applyFont="1" applyFill="1" applyBorder="1" applyAlignment="1" applyProtection="1">
      <alignment horizontal="center" vertical="center" wrapText="1"/>
      <protection/>
    </xf>
    <xf numFmtId="171" fontId="4" fillId="0" borderId="41" xfId="74" applyNumberFormat="1" applyFont="1" applyFill="1" applyBorder="1" applyAlignment="1" applyProtection="1">
      <alignment horizontal="center" vertical="center" wrapText="1"/>
      <protection/>
    </xf>
    <xf numFmtId="0" fontId="20" fillId="0" borderId="32" xfId="50" applyFont="1" applyFill="1" applyBorder="1" applyAlignment="1">
      <alignment horizontal="center" vertical="center" wrapText="1"/>
      <protection/>
    </xf>
    <xf numFmtId="171" fontId="4" fillId="0" borderId="40" xfId="74" applyNumberFormat="1" applyFont="1" applyFill="1" applyBorder="1" applyAlignment="1" applyProtection="1">
      <alignment horizontal="center" vertical="center" wrapText="1"/>
      <protection/>
    </xf>
    <xf numFmtId="171" fontId="16" fillId="0" borderId="38" xfId="74" applyNumberFormat="1" applyFont="1" applyFill="1" applyBorder="1" applyAlignment="1" applyProtection="1">
      <alignment horizontal="center" vertical="center"/>
      <protection/>
    </xf>
    <xf numFmtId="171" fontId="16" fillId="0" borderId="41" xfId="74" applyNumberFormat="1" applyFont="1" applyFill="1" applyBorder="1" applyAlignment="1" applyProtection="1">
      <alignment horizontal="center" vertical="center"/>
      <protection/>
    </xf>
    <xf numFmtId="171" fontId="16" fillId="38" borderId="38" xfId="74" applyNumberFormat="1" applyFont="1" applyFill="1" applyBorder="1" applyAlignment="1" applyProtection="1">
      <alignment horizontal="center" vertical="center" wrapText="1"/>
      <protection/>
    </xf>
    <xf numFmtId="171" fontId="16" fillId="38" borderId="41" xfId="74" applyNumberFormat="1" applyFont="1" applyFill="1" applyBorder="1" applyAlignment="1" applyProtection="1">
      <alignment horizontal="center" vertical="center" wrapText="1"/>
      <protection/>
    </xf>
    <xf numFmtId="171" fontId="4" fillId="0" borderId="38" xfId="74" applyNumberFormat="1" applyFont="1" applyFill="1" applyBorder="1" applyAlignment="1" applyProtection="1">
      <alignment horizontal="center" vertical="center"/>
      <protection/>
    </xf>
    <xf numFmtId="171" fontId="16" fillId="38" borderId="38" xfId="50" applyNumberFormat="1" applyFont="1" applyFill="1" applyBorder="1" applyAlignment="1">
      <alignment horizontal="center" vertical="center"/>
      <protection/>
    </xf>
    <xf numFmtId="171" fontId="16" fillId="38" borderId="41" xfId="50" applyNumberFormat="1" applyFont="1" applyFill="1" applyBorder="1" applyAlignment="1">
      <alignment horizontal="center" vertical="center"/>
      <protection/>
    </xf>
    <xf numFmtId="43" fontId="16" fillId="0" borderId="62" xfId="50" applyNumberFormat="1" applyFont="1" applyFill="1" applyBorder="1" applyAlignment="1">
      <alignment horizontal="center" vertical="center" wrapText="1"/>
      <protection/>
    </xf>
    <xf numFmtId="0" fontId="16" fillId="0" borderId="38" xfId="50" applyFont="1" applyFill="1" applyBorder="1" applyAlignment="1">
      <alignment horizontal="center" vertical="center" wrapText="1"/>
      <protection/>
    </xf>
    <xf numFmtId="0" fontId="16" fillId="0" borderId="41" xfId="50" applyFont="1" applyFill="1" applyBorder="1" applyAlignment="1">
      <alignment horizontal="center" vertical="center" wrapText="1"/>
      <protection/>
    </xf>
    <xf numFmtId="0" fontId="16" fillId="38" borderId="62" xfId="50" applyFont="1" applyFill="1" applyBorder="1" applyAlignment="1">
      <alignment horizontal="center" vertical="center" wrapText="1"/>
      <protection/>
    </xf>
    <xf numFmtId="0" fontId="16" fillId="38" borderId="38" xfId="50" applyFont="1" applyFill="1" applyBorder="1" applyAlignment="1">
      <alignment horizontal="center" vertical="center" wrapText="1"/>
      <protection/>
    </xf>
    <xf numFmtId="0" fontId="16" fillId="38" borderId="41" xfId="50" applyFont="1" applyFill="1" applyBorder="1" applyAlignment="1">
      <alignment horizontal="center" vertical="center" wrapText="1"/>
      <protection/>
    </xf>
    <xf numFmtId="171" fontId="4" fillId="38" borderId="38" xfId="50" applyNumberFormat="1" applyFont="1" applyFill="1" applyBorder="1" applyAlignment="1">
      <alignment horizontal="center" vertical="center" wrapText="1"/>
      <protection/>
    </xf>
    <xf numFmtId="171" fontId="4" fillId="38" borderId="41" xfId="50" applyNumberFormat="1" applyFont="1" applyFill="1" applyBorder="1" applyAlignment="1">
      <alignment horizontal="center" vertical="center" wrapText="1"/>
      <protection/>
    </xf>
    <xf numFmtId="0" fontId="16" fillId="0" borderId="62" xfId="50" applyFont="1" applyFill="1" applyBorder="1" applyAlignment="1">
      <alignment horizontal="center" vertical="center" wrapText="1"/>
      <protection/>
    </xf>
    <xf numFmtId="171" fontId="20" fillId="0" borderId="38" xfId="74" applyNumberFormat="1" applyFont="1" applyFill="1" applyBorder="1" applyAlignment="1" applyProtection="1">
      <alignment horizontal="center" vertical="center"/>
      <protection/>
    </xf>
    <xf numFmtId="171" fontId="20" fillId="0" borderId="41" xfId="74" applyNumberFormat="1" applyFont="1" applyFill="1" applyBorder="1" applyAlignment="1" applyProtection="1">
      <alignment horizontal="center" vertical="center"/>
      <protection/>
    </xf>
    <xf numFmtId="43" fontId="20" fillId="0" borderId="38" xfId="74" applyNumberFormat="1" applyFont="1" applyFill="1" applyBorder="1" applyAlignment="1" applyProtection="1">
      <alignment horizontal="right" vertical="center" wrapText="1"/>
      <protection/>
    </xf>
    <xf numFmtId="171" fontId="20" fillId="0" borderId="38" xfId="74" applyNumberFormat="1" applyFont="1" applyFill="1" applyBorder="1" applyAlignment="1" applyProtection="1">
      <alignment horizontal="right" vertical="center" wrapText="1"/>
      <protection/>
    </xf>
    <xf numFmtId="171" fontId="20" fillId="0" borderId="41" xfId="74" applyNumberFormat="1" applyFont="1" applyFill="1" applyBorder="1" applyAlignment="1" applyProtection="1">
      <alignment horizontal="right" vertical="center" wrapText="1"/>
      <protection/>
    </xf>
    <xf numFmtId="171" fontId="16" fillId="0" borderId="38" xfId="74" applyNumberFormat="1" applyFont="1" applyFill="1" applyBorder="1" applyAlignment="1" applyProtection="1">
      <alignment horizontal="right" vertical="center" wrapText="1"/>
      <protection/>
    </xf>
    <xf numFmtId="171" fontId="16" fillId="0" borderId="41" xfId="74" applyNumberFormat="1" applyFont="1" applyFill="1" applyBorder="1" applyAlignment="1" applyProtection="1">
      <alignment horizontal="right" vertical="center" wrapText="1"/>
      <protection/>
    </xf>
    <xf numFmtId="0" fontId="4" fillId="38" borderId="22" xfId="50" applyFont="1" applyFill="1" applyBorder="1" applyAlignment="1">
      <alignment horizontal="center" vertical="center" wrapText="1"/>
      <protection/>
    </xf>
    <xf numFmtId="171" fontId="16" fillId="0" borderId="22" xfId="74" applyNumberFormat="1" applyFont="1" applyFill="1" applyBorder="1" applyAlignment="1" applyProtection="1">
      <alignment horizontal="center" vertical="center" wrapText="1"/>
      <protection/>
    </xf>
    <xf numFmtId="0" fontId="20" fillId="0" borderId="0" xfId="50" applyFont="1" applyFill="1" applyBorder="1" applyAlignment="1">
      <alignment horizontal="left" indent="5"/>
      <protection/>
    </xf>
    <xf numFmtId="0" fontId="20" fillId="0" borderId="0" xfId="50" applyFont="1" applyFill="1" applyBorder="1" applyAlignment="1">
      <alignment horizontal="left" indent="3"/>
      <protection/>
    </xf>
    <xf numFmtId="0" fontId="16" fillId="0" borderId="0" xfId="50" applyFont="1" applyFill="1" applyBorder="1" applyAlignment="1">
      <alignment horizontal="center" vertical="center"/>
      <protection/>
    </xf>
    <xf numFmtId="0" fontId="4" fillId="38" borderId="20" xfId="50" applyFont="1" applyFill="1" applyBorder="1" applyAlignment="1">
      <alignment horizontal="center" vertical="center" wrapText="1"/>
      <protection/>
    </xf>
    <xf numFmtId="2" fontId="3" fillId="0" borderId="0" xfId="50" applyNumberFormat="1" applyFont="1" applyFill="1" applyBorder="1" applyAlignment="1">
      <alignment horizontal="left"/>
      <protection/>
    </xf>
    <xf numFmtId="0" fontId="3" fillId="0" borderId="0" xfId="57" applyFont="1" applyFill="1" applyAlignment="1">
      <alignment horizontal="left" indent="7"/>
      <protection/>
    </xf>
    <xf numFmtId="0" fontId="3" fillId="0" borderId="0" xfId="50" applyFont="1" applyFill="1" applyBorder="1" applyAlignment="1">
      <alignment horizontal="left" indent="7"/>
      <protection/>
    </xf>
    <xf numFmtId="0" fontId="8" fillId="38" borderId="44" xfId="57" applyFont="1" applyFill="1" applyBorder="1" applyAlignment="1">
      <alignment horizontal="center" vertical="center" wrapText="1"/>
      <protection/>
    </xf>
    <xf numFmtId="0" fontId="8" fillId="38" borderId="32" xfId="57" applyFont="1" applyFill="1" applyBorder="1" applyAlignment="1">
      <alignment horizontal="center" vertical="center" wrapText="1"/>
      <protection/>
    </xf>
    <xf numFmtId="0" fontId="8" fillId="38" borderId="50" xfId="57" applyFont="1" applyFill="1" applyBorder="1" applyAlignment="1">
      <alignment horizontal="center" vertical="center" wrapText="1"/>
      <protection/>
    </xf>
    <xf numFmtId="0" fontId="8" fillId="38" borderId="49" xfId="57" applyFont="1" applyFill="1" applyBorder="1" applyAlignment="1">
      <alignment horizontal="center" vertical="center" wrapText="1"/>
      <protection/>
    </xf>
    <xf numFmtId="0" fontId="8" fillId="38" borderId="0" xfId="57" applyFont="1" applyFill="1" applyBorder="1" applyAlignment="1">
      <alignment horizontal="center" vertical="center" wrapText="1"/>
      <protection/>
    </xf>
    <xf numFmtId="0" fontId="8" fillId="38" borderId="21" xfId="57" applyFont="1" applyFill="1" applyBorder="1" applyAlignment="1">
      <alignment horizontal="center" vertical="center" wrapText="1"/>
      <protection/>
    </xf>
    <xf numFmtId="0" fontId="8" fillId="38" borderId="51" xfId="57" applyFont="1" applyFill="1" applyBorder="1" applyAlignment="1">
      <alignment horizontal="center" vertical="center" wrapText="1"/>
      <protection/>
    </xf>
    <xf numFmtId="0" fontId="8" fillId="38" borderId="30" xfId="57" applyFont="1" applyFill="1" applyBorder="1" applyAlignment="1">
      <alignment horizontal="center" vertical="center" wrapText="1"/>
      <protection/>
    </xf>
    <xf numFmtId="0" fontId="8" fillId="38" borderId="52" xfId="57" applyFont="1" applyFill="1" applyBorder="1" applyAlignment="1">
      <alignment horizontal="center" vertical="center" wrapText="1"/>
      <protection/>
    </xf>
    <xf numFmtId="0" fontId="8" fillId="38" borderId="38" xfId="57" applyFont="1" applyFill="1" applyBorder="1" applyAlignment="1">
      <alignment horizontal="center" vertical="center"/>
      <protection/>
    </xf>
    <xf numFmtId="0" fontId="8" fillId="38" borderId="38" xfId="57" applyFont="1" applyFill="1" applyBorder="1" applyAlignment="1">
      <alignment horizontal="center" vertical="center" wrapText="1"/>
      <protection/>
    </xf>
    <xf numFmtId="0" fontId="8" fillId="0" borderId="41" xfId="57" applyFont="1" applyFill="1" applyBorder="1" applyAlignment="1">
      <alignment horizontal="left" vertical="center"/>
      <protection/>
    </xf>
    <xf numFmtId="0" fontId="8" fillId="0" borderId="40" xfId="57" applyFont="1" applyFill="1" applyBorder="1" applyAlignment="1">
      <alignment horizontal="left" vertical="center"/>
      <protection/>
    </xf>
    <xf numFmtId="0" fontId="8" fillId="0" borderId="62" xfId="57" applyFont="1" applyFill="1" applyBorder="1" applyAlignment="1">
      <alignment horizontal="left" vertical="center"/>
      <protection/>
    </xf>
    <xf numFmtId="4" fontId="8" fillId="0" borderId="41" xfId="57" applyNumberFormat="1" applyFont="1" applyFill="1" applyBorder="1" applyAlignment="1">
      <alignment horizontal="right" vertical="center"/>
      <protection/>
    </xf>
    <xf numFmtId="4" fontId="8" fillId="0" borderId="62" xfId="57" applyNumberFormat="1" applyFont="1" applyFill="1" applyBorder="1" applyAlignment="1">
      <alignment horizontal="right" vertical="center"/>
      <protection/>
    </xf>
    <xf numFmtId="0" fontId="0" fillId="38" borderId="38" xfId="0" applyFont="1" applyFill="1" applyBorder="1" applyAlignment="1">
      <alignment horizontal="center" vertical="center"/>
    </xf>
    <xf numFmtId="0" fontId="0" fillId="38" borderId="38" xfId="0" applyFont="1" applyFill="1" applyBorder="1" applyAlignment="1">
      <alignment horizontal="center" vertical="center"/>
    </xf>
    <xf numFmtId="4" fontId="8" fillId="0" borderId="40" xfId="57" applyNumberFormat="1" applyFont="1" applyFill="1" applyBorder="1" applyAlignment="1">
      <alignment horizontal="right" vertical="center"/>
      <protection/>
    </xf>
    <xf numFmtId="2" fontId="8" fillId="0" borderId="41" xfId="0" applyNumberFormat="1" applyFont="1" applyBorder="1" applyAlignment="1">
      <alignment horizontal="right" vertical="center"/>
    </xf>
    <xf numFmtId="2" fontId="8" fillId="0" borderId="62" xfId="0" applyNumberFormat="1" applyFont="1" applyBorder="1" applyAlignment="1">
      <alignment horizontal="right" vertical="center"/>
    </xf>
    <xf numFmtId="0" fontId="0" fillId="0" borderId="41" xfId="57" applyFont="1" applyFill="1" applyBorder="1" applyAlignment="1">
      <alignment horizontal="left" vertical="center"/>
      <protection/>
    </xf>
    <xf numFmtId="0" fontId="0" fillId="0" borderId="40" xfId="57" applyFont="1" applyFill="1" applyBorder="1" applyAlignment="1">
      <alignment horizontal="left" vertical="center"/>
      <protection/>
    </xf>
    <xf numFmtId="0" fontId="0" fillId="0" borderId="62" xfId="57" applyFont="1" applyFill="1" applyBorder="1" applyAlignment="1">
      <alignment horizontal="left" vertical="center"/>
      <protection/>
    </xf>
    <xf numFmtId="4" fontId="0" fillId="0" borderId="41" xfId="57" applyNumberFormat="1" applyFont="1" applyFill="1" applyBorder="1" applyAlignment="1">
      <alignment horizontal="right" vertical="center"/>
      <protection/>
    </xf>
    <xf numFmtId="4" fontId="0" fillId="0" borderId="62" xfId="57" applyNumberFormat="1" applyFont="1" applyFill="1" applyBorder="1" applyAlignment="1">
      <alignment horizontal="right" vertical="center"/>
      <protection/>
    </xf>
    <xf numFmtId="4" fontId="0" fillId="0" borderId="40" xfId="57" applyNumberFormat="1" applyFont="1" applyFill="1" applyBorder="1" applyAlignment="1">
      <alignment horizontal="right" vertical="center"/>
      <protection/>
    </xf>
    <xf numFmtId="0" fontId="0" fillId="0" borderId="41" xfId="57" applyFont="1" applyFill="1" applyBorder="1" applyAlignment="1">
      <alignment horizontal="center" vertical="center"/>
      <protection/>
    </xf>
    <xf numFmtId="0" fontId="0" fillId="0" borderId="40" xfId="57" applyFont="1" applyFill="1" applyBorder="1" applyAlignment="1">
      <alignment horizontal="center" vertical="center"/>
      <protection/>
    </xf>
    <xf numFmtId="0" fontId="0" fillId="0" borderId="62" xfId="57" applyFont="1" applyFill="1" applyBorder="1" applyAlignment="1">
      <alignment horizontal="center" vertical="center"/>
      <protection/>
    </xf>
    <xf numFmtId="0" fontId="0" fillId="0" borderId="41" xfId="57" applyFont="1" applyFill="1" applyBorder="1" applyAlignment="1">
      <alignment horizontal="left" vertical="center"/>
      <protection/>
    </xf>
    <xf numFmtId="0" fontId="7" fillId="38" borderId="20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 wrapText="1"/>
    </xf>
    <xf numFmtId="4" fontId="8" fillId="38" borderId="20" xfId="57" applyNumberFormat="1" applyFont="1" applyFill="1" applyBorder="1" applyAlignment="1">
      <alignment horizontal="center" vertical="center"/>
      <protection/>
    </xf>
    <xf numFmtId="4" fontId="8" fillId="38" borderId="22" xfId="57" applyNumberFormat="1" applyFont="1" applyFill="1" applyBorder="1" applyAlignment="1">
      <alignment horizontal="center" vertical="center"/>
      <protection/>
    </xf>
    <xf numFmtId="0" fontId="0" fillId="0" borderId="41" xfId="57" applyFont="1" applyFill="1" applyBorder="1" applyAlignment="1">
      <alignment horizontal="left" vertical="center" wrapText="1"/>
      <protection/>
    </xf>
    <xf numFmtId="0" fontId="0" fillId="0" borderId="40" xfId="57" applyFont="1" applyFill="1" applyBorder="1" applyAlignment="1">
      <alignment horizontal="left" vertical="center" wrapText="1"/>
      <protection/>
    </xf>
    <xf numFmtId="0" fontId="0" fillId="0" borderId="62" xfId="57" applyFont="1" applyFill="1" applyBorder="1" applyAlignment="1">
      <alignment horizontal="left" vertical="center" wrapText="1"/>
      <protection/>
    </xf>
    <xf numFmtId="0" fontId="8" fillId="38" borderId="44" xfId="57" applyFont="1" applyFill="1" applyBorder="1" applyAlignment="1">
      <alignment horizontal="left" vertical="center" wrapText="1"/>
      <protection/>
    </xf>
    <xf numFmtId="0" fontId="8" fillId="38" borderId="32" xfId="57" applyFont="1" applyFill="1" applyBorder="1" applyAlignment="1">
      <alignment horizontal="left" vertical="center" wrapText="1"/>
      <protection/>
    </xf>
    <xf numFmtId="0" fontId="8" fillId="38" borderId="50" xfId="57" applyFont="1" applyFill="1" applyBorder="1" applyAlignment="1">
      <alignment horizontal="left" vertical="center" wrapText="1"/>
      <protection/>
    </xf>
    <xf numFmtId="0" fontId="8" fillId="38" borderId="51" xfId="57" applyFont="1" applyFill="1" applyBorder="1" applyAlignment="1">
      <alignment horizontal="left" vertical="center" wrapText="1"/>
      <protection/>
    </xf>
    <xf numFmtId="0" fontId="8" fillId="38" borderId="30" xfId="57" applyFont="1" applyFill="1" applyBorder="1" applyAlignment="1">
      <alignment horizontal="left" vertical="center" wrapText="1"/>
      <protection/>
    </xf>
    <xf numFmtId="0" fontId="8" fillId="38" borderId="52" xfId="57" applyFont="1" applyFill="1" applyBorder="1" applyAlignment="1">
      <alignment horizontal="left" vertical="center" wrapText="1"/>
      <protection/>
    </xf>
    <xf numFmtId="10" fontId="8" fillId="38" borderId="41" xfId="60" applyNumberFormat="1" applyFont="1" applyFill="1" applyBorder="1" applyAlignment="1">
      <alignment horizontal="center" vertical="center"/>
    </xf>
    <xf numFmtId="10" fontId="8" fillId="38" borderId="62" xfId="60" applyNumberFormat="1" applyFont="1" applyFill="1" applyBorder="1" applyAlignment="1">
      <alignment horizontal="center" vertical="center"/>
    </xf>
    <xf numFmtId="0" fontId="8" fillId="38" borderId="38" xfId="0" applyFont="1" applyFill="1" applyBorder="1" applyAlignment="1">
      <alignment horizontal="center" vertical="center"/>
    </xf>
    <xf numFmtId="0" fontId="8" fillId="38" borderId="41" xfId="57" applyFont="1" applyFill="1" applyBorder="1" applyAlignment="1">
      <alignment horizontal="left" vertical="center" wrapText="1"/>
      <protection/>
    </xf>
    <xf numFmtId="0" fontId="8" fillId="38" borderId="40" xfId="57" applyFont="1" applyFill="1" applyBorder="1" applyAlignment="1">
      <alignment horizontal="left" vertical="center" wrapText="1"/>
      <protection/>
    </xf>
    <xf numFmtId="0" fontId="8" fillId="38" borderId="62" xfId="57" applyFont="1" applyFill="1" applyBorder="1" applyAlignment="1">
      <alignment horizontal="left" vertical="center" wrapText="1"/>
      <protection/>
    </xf>
    <xf numFmtId="4" fontId="8" fillId="38" borderId="41" xfId="57" applyNumberFormat="1" applyFont="1" applyFill="1" applyBorder="1" applyAlignment="1">
      <alignment horizontal="right" vertical="center"/>
      <protection/>
    </xf>
    <xf numFmtId="4" fontId="8" fillId="38" borderId="62" xfId="57" applyNumberFormat="1" applyFont="1" applyFill="1" applyBorder="1" applyAlignment="1">
      <alignment horizontal="right" vertical="center"/>
      <protection/>
    </xf>
    <xf numFmtId="4" fontId="8" fillId="38" borderId="40" xfId="57" applyNumberFormat="1" applyFont="1" applyFill="1" applyBorder="1" applyAlignment="1">
      <alignment horizontal="right" vertical="center"/>
      <protection/>
    </xf>
    <xf numFmtId="2" fontId="8" fillId="38" borderId="41" xfId="0" applyNumberFormat="1" applyFont="1" applyFill="1" applyBorder="1" applyAlignment="1">
      <alignment horizontal="right" vertical="center"/>
    </xf>
    <xf numFmtId="2" fontId="8" fillId="38" borderId="62" xfId="0" applyNumberFormat="1" applyFont="1" applyFill="1" applyBorder="1" applyAlignment="1">
      <alignment horizontal="right" vertical="center"/>
    </xf>
    <xf numFmtId="0" fontId="8" fillId="0" borderId="30" xfId="57" applyFont="1" applyFill="1" applyBorder="1" applyAlignment="1">
      <alignment horizontal="center" vertical="center" wrapText="1"/>
      <protection/>
    </xf>
    <xf numFmtId="0" fontId="8" fillId="0" borderId="52" xfId="57" applyFont="1" applyFill="1" applyBorder="1" applyAlignment="1">
      <alignment horizontal="center" vertical="center" wrapText="1"/>
      <protection/>
    </xf>
    <xf numFmtId="4" fontId="7" fillId="38" borderId="20" xfId="57" applyNumberFormat="1" applyFont="1" applyFill="1" applyBorder="1" applyAlignment="1">
      <alignment horizontal="center" vertical="center" wrapText="1"/>
      <protection/>
    </xf>
    <xf numFmtId="4" fontId="7" fillId="38" borderId="22" xfId="57" applyNumberFormat="1" applyFont="1" applyFill="1" applyBorder="1" applyAlignment="1">
      <alignment horizontal="center" vertical="center" wrapText="1"/>
      <protection/>
    </xf>
    <xf numFmtId="4" fontId="8" fillId="38" borderId="38" xfId="57" applyNumberFormat="1" applyFont="1" applyFill="1" applyBorder="1" applyAlignment="1">
      <alignment horizontal="center" vertical="center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0" fontId="8" fillId="0" borderId="62" xfId="57" applyFont="1" applyFill="1" applyBorder="1" applyAlignment="1">
      <alignment horizontal="left" vertical="center" wrapText="1"/>
      <protection/>
    </xf>
    <xf numFmtId="0" fontId="8" fillId="38" borderId="51" xfId="57" applyFont="1" applyFill="1" applyBorder="1" applyAlignment="1">
      <alignment horizontal="center" vertical="center"/>
      <protection/>
    </xf>
    <xf numFmtId="0" fontId="8" fillId="38" borderId="30" xfId="57" applyFont="1" applyFill="1" applyBorder="1" applyAlignment="1">
      <alignment horizontal="center" vertical="center"/>
      <protection/>
    </xf>
    <xf numFmtId="0" fontId="8" fillId="38" borderId="52" xfId="57" applyFont="1" applyFill="1" applyBorder="1" applyAlignment="1">
      <alignment horizontal="center" vertical="center"/>
      <protection/>
    </xf>
    <xf numFmtId="4" fontId="8" fillId="38" borderId="51" xfId="57" applyNumberFormat="1" applyFont="1" applyFill="1" applyBorder="1" applyAlignment="1">
      <alignment horizontal="center" vertical="center" wrapText="1"/>
      <protection/>
    </xf>
    <xf numFmtId="4" fontId="8" fillId="38" borderId="52" xfId="57" applyNumberFormat="1" applyFont="1" applyFill="1" applyBorder="1" applyAlignment="1">
      <alignment horizontal="center" vertical="center" wrapText="1"/>
      <protection/>
    </xf>
    <xf numFmtId="0" fontId="8" fillId="38" borderId="51" xfId="0" applyFont="1" applyFill="1" applyBorder="1" applyAlignment="1">
      <alignment horizontal="center" vertical="center" wrapText="1"/>
    </xf>
    <xf numFmtId="0" fontId="8" fillId="38" borderId="52" xfId="0" applyFont="1" applyFill="1" applyBorder="1" applyAlignment="1">
      <alignment horizontal="center" vertical="center" wrapText="1"/>
    </xf>
    <xf numFmtId="171" fontId="0" fillId="0" borderId="41" xfId="86" applyFill="1" applyBorder="1" applyAlignment="1">
      <alignment horizontal="center" vertical="center"/>
    </xf>
    <xf numFmtId="171" fontId="0" fillId="0" borderId="62" xfId="86" applyFill="1" applyBorder="1" applyAlignment="1">
      <alignment horizontal="center" vertical="center"/>
    </xf>
    <xf numFmtId="0" fontId="0" fillId="0" borderId="41" xfId="57" applyFont="1" applyFill="1" applyBorder="1" applyAlignment="1">
      <alignment horizontal="left" vertical="center" wrapText="1"/>
      <protection/>
    </xf>
    <xf numFmtId="49" fontId="0" fillId="34" borderId="41" xfId="57" applyNumberFormat="1" applyFont="1" applyFill="1" applyBorder="1" applyAlignment="1">
      <alignment horizontal="left" vertical="center" wrapText="1"/>
      <protection/>
    </xf>
    <xf numFmtId="49" fontId="0" fillId="34" borderId="40" xfId="57" applyNumberFormat="1" applyFont="1" applyFill="1" applyBorder="1" applyAlignment="1">
      <alignment horizontal="left" vertical="center" wrapText="1"/>
      <protection/>
    </xf>
    <xf numFmtId="49" fontId="0" fillId="34" borderId="62" xfId="57" applyNumberFormat="1" applyFont="1" applyFill="1" applyBorder="1" applyAlignment="1">
      <alignment horizontal="left" vertical="center" wrapText="1"/>
      <protection/>
    </xf>
    <xf numFmtId="4" fontId="0" fillId="34" borderId="38" xfId="57" applyNumberFormat="1" applyFont="1" applyFill="1" applyBorder="1" applyAlignment="1">
      <alignment horizontal="right" vertical="center"/>
      <protection/>
    </xf>
    <xf numFmtId="171" fontId="0" fillId="34" borderId="38" xfId="86" applyFill="1" applyBorder="1" applyAlignment="1">
      <alignment horizontal="center" vertical="center"/>
    </xf>
    <xf numFmtId="171" fontId="0" fillId="34" borderId="41" xfId="86" applyFill="1" applyBorder="1" applyAlignment="1">
      <alignment horizontal="center" vertical="center"/>
    </xf>
    <xf numFmtId="171" fontId="0" fillId="34" borderId="40" xfId="86" applyFill="1" applyBorder="1" applyAlignment="1">
      <alignment horizontal="center" vertical="center"/>
    </xf>
    <xf numFmtId="171" fontId="0" fillId="34" borderId="62" xfId="86" applyFill="1" applyBorder="1" applyAlignment="1">
      <alignment horizontal="center" vertical="center"/>
    </xf>
    <xf numFmtId="49" fontId="8" fillId="38" borderId="41" xfId="57" applyNumberFormat="1" applyFont="1" applyFill="1" applyBorder="1" applyAlignment="1">
      <alignment horizontal="left" vertical="center" wrapText="1"/>
      <protection/>
    </xf>
    <xf numFmtId="49" fontId="8" fillId="38" borderId="40" xfId="57" applyNumberFormat="1" applyFont="1" applyFill="1" applyBorder="1" applyAlignment="1">
      <alignment horizontal="left" vertical="center" wrapText="1"/>
      <protection/>
    </xf>
    <xf numFmtId="49" fontId="8" fillId="38" borderId="62" xfId="57" applyNumberFormat="1" applyFont="1" applyFill="1" applyBorder="1" applyAlignment="1">
      <alignment horizontal="left" vertical="center" wrapText="1"/>
      <protection/>
    </xf>
    <xf numFmtId="49" fontId="0" fillId="34" borderId="41" xfId="57" applyNumberFormat="1" applyFont="1" applyFill="1" applyBorder="1" applyAlignment="1">
      <alignment horizontal="center" vertical="center" wrapText="1"/>
      <protection/>
    </xf>
    <xf numFmtId="49" fontId="0" fillId="34" borderId="40" xfId="57" applyNumberFormat="1" applyFont="1" applyFill="1" applyBorder="1" applyAlignment="1">
      <alignment horizontal="center" vertical="center" wrapText="1"/>
      <protection/>
    </xf>
    <xf numFmtId="49" fontId="0" fillId="34" borderId="62" xfId="57" applyNumberFormat="1" applyFont="1" applyFill="1" applyBorder="1" applyAlignment="1">
      <alignment horizontal="center" vertical="center" wrapText="1"/>
      <protection/>
    </xf>
    <xf numFmtId="49" fontId="8" fillId="38" borderId="44" xfId="57" applyNumberFormat="1" applyFont="1" applyFill="1" applyBorder="1" applyAlignment="1">
      <alignment horizontal="center" vertical="center" wrapText="1"/>
      <protection/>
    </xf>
    <xf numFmtId="49" fontId="8" fillId="38" borderId="32" xfId="57" applyNumberFormat="1" applyFont="1" applyFill="1" applyBorder="1" applyAlignment="1">
      <alignment horizontal="center" vertical="center" wrapText="1"/>
      <protection/>
    </xf>
    <xf numFmtId="49" fontId="8" fillId="38" borderId="50" xfId="57" applyNumberFormat="1" applyFont="1" applyFill="1" applyBorder="1" applyAlignment="1">
      <alignment horizontal="center" vertical="center" wrapText="1"/>
      <protection/>
    </xf>
    <xf numFmtId="49" fontId="8" fillId="38" borderId="49" xfId="57" applyNumberFormat="1" applyFont="1" applyFill="1" applyBorder="1" applyAlignment="1">
      <alignment horizontal="center" vertical="center" wrapText="1"/>
      <protection/>
    </xf>
    <xf numFmtId="49" fontId="8" fillId="38" borderId="0" xfId="57" applyNumberFormat="1" applyFont="1" applyFill="1" applyBorder="1" applyAlignment="1">
      <alignment horizontal="center" vertical="center" wrapText="1"/>
      <protection/>
    </xf>
    <xf numFmtId="49" fontId="8" fillId="38" borderId="21" xfId="57" applyNumberFormat="1" applyFont="1" applyFill="1" applyBorder="1" applyAlignment="1">
      <alignment horizontal="center" vertical="center" wrapText="1"/>
      <protection/>
    </xf>
    <xf numFmtId="49" fontId="8" fillId="38" borderId="51" xfId="57" applyNumberFormat="1" applyFont="1" applyFill="1" applyBorder="1" applyAlignment="1">
      <alignment horizontal="center" vertical="center" wrapText="1"/>
      <protection/>
    </xf>
    <xf numFmtId="49" fontId="8" fillId="38" borderId="30" xfId="57" applyNumberFormat="1" applyFont="1" applyFill="1" applyBorder="1" applyAlignment="1">
      <alignment horizontal="center" vertical="center" wrapText="1"/>
      <protection/>
    </xf>
    <xf numFmtId="49" fontId="8" fillId="38" borderId="52" xfId="57" applyNumberFormat="1" applyFont="1" applyFill="1" applyBorder="1" applyAlignment="1">
      <alignment horizontal="center" vertical="center" wrapText="1"/>
      <protection/>
    </xf>
    <xf numFmtId="49" fontId="8" fillId="38" borderId="38" xfId="57" applyNumberFormat="1" applyFont="1" applyFill="1" applyBorder="1" applyAlignment="1">
      <alignment horizontal="center" vertical="center" wrapText="1"/>
      <protection/>
    </xf>
    <xf numFmtId="0" fontId="8" fillId="38" borderId="38" xfId="0" applyFont="1" applyFill="1" applyBorder="1" applyAlignment="1">
      <alignment horizontal="center" vertical="center" wrapText="1"/>
    </xf>
    <xf numFmtId="171" fontId="100" fillId="34" borderId="41" xfId="86" applyFont="1" applyFill="1" applyBorder="1" applyAlignment="1">
      <alignment horizontal="center" vertical="center" wrapText="1"/>
    </xf>
    <xf numFmtId="171" fontId="100" fillId="34" borderId="62" xfId="86" applyFont="1" applyFill="1" applyBorder="1" applyAlignment="1">
      <alignment horizontal="center" vertical="center" wrapText="1"/>
    </xf>
    <xf numFmtId="171" fontId="0" fillId="34" borderId="41" xfId="86" applyFill="1" applyBorder="1" applyAlignment="1">
      <alignment horizontal="center" vertical="center" wrapText="1"/>
    </xf>
    <xf numFmtId="171" fontId="0" fillId="34" borderId="62" xfId="86" applyFill="1" applyBorder="1" applyAlignment="1">
      <alignment horizontal="center" vertical="center" wrapText="1"/>
    </xf>
    <xf numFmtId="49" fontId="0" fillId="38" borderId="41" xfId="57" applyNumberFormat="1" applyFont="1" applyFill="1" applyBorder="1" applyAlignment="1">
      <alignment horizontal="center" vertical="center" wrapText="1"/>
      <protection/>
    </xf>
    <xf numFmtId="49" fontId="0" fillId="38" borderId="62" xfId="57" applyNumberFormat="1" applyFont="1" applyFill="1" applyBorder="1" applyAlignment="1">
      <alignment horizontal="center" vertical="center" wrapText="1"/>
      <protection/>
    </xf>
    <xf numFmtId="49" fontId="8" fillId="38" borderId="41" xfId="57" applyNumberFormat="1" applyFont="1" applyFill="1" applyBorder="1" applyAlignment="1">
      <alignment horizontal="center" vertical="center" wrapText="1"/>
      <protection/>
    </xf>
    <xf numFmtId="49" fontId="8" fillId="38" borderId="40" xfId="57" applyNumberFormat="1" applyFont="1" applyFill="1" applyBorder="1" applyAlignment="1">
      <alignment horizontal="center" vertical="center" wrapText="1"/>
      <protection/>
    </xf>
    <xf numFmtId="49" fontId="8" fillId="38" borderId="62" xfId="57" applyNumberFormat="1" applyFont="1" applyFill="1" applyBorder="1" applyAlignment="1">
      <alignment horizontal="center" vertical="center" wrapText="1"/>
      <protection/>
    </xf>
    <xf numFmtId="49" fontId="8" fillId="34" borderId="38" xfId="57" applyNumberFormat="1" applyFont="1" applyFill="1" applyBorder="1" applyAlignment="1">
      <alignment horizontal="center" vertical="center" wrapText="1"/>
      <protection/>
    </xf>
    <xf numFmtId="49" fontId="3" fillId="34" borderId="41" xfId="57" applyNumberFormat="1" applyFont="1" applyFill="1" applyBorder="1" applyAlignment="1">
      <alignment horizontal="center" vertical="center" wrapText="1"/>
      <protection/>
    </xf>
    <xf numFmtId="49" fontId="3" fillId="34" borderId="40" xfId="57" applyNumberFormat="1" applyFont="1" applyFill="1" applyBorder="1" applyAlignment="1">
      <alignment horizontal="center" vertical="center" wrapText="1"/>
      <protection/>
    </xf>
    <xf numFmtId="49" fontId="3" fillId="34" borderId="62" xfId="57" applyNumberFormat="1" applyFont="1" applyFill="1" applyBorder="1" applyAlignment="1">
      <alignment horizontal="center" vertical="center" wrapText="1"/>
      <protection/>
    </xf>
    <xf numFmtId="49" fontId="8" fillId="34" borderId="44" xfId="57" applyNumberFormat="1" applyFont="1" applyFill="1" applyBorder="1" applyAlignment="1">
      <alignment horizontal="center" vertical="center" wrapText="1"/>
      <protection/>
    </xf>
    <xf numFmtId="49" fontId="8" fillId="34" borderId="32" xfId="57" applyNumberFormat="1" applyFont="1" applyFill="1" applyBorder="1" applyAlignment="1">
      <alignment horizontal="center" vertical="center" wrapText="1"/>
      <protection/>
    </xf>
    <xf numFmtId="49" fontId="8" fillId="34" borderId="50" xfId="57" applyNumberFormat="1" applyFont="1" applyFill="1" applyBorder="1" applyAlignment="1">
      <alignment horizontal="center" vertical="center" wrapText="1"/>
      <protection/>
    </xf>
    <xf numFmtId="49" fontId="8" fillId="34" borderId="49" xfId="57" applyNumberFormat="1" applyFont="1" applyFill="1" applyBorder="1" applyAlignment="1">
      <alignment horizontal="center" vertical="center" wrapText="1"/>
      <protection/>
    </xf>
    <xf numFmtId="49" fontId="8" fillId="34" borderId="0" xfId="57" applyNumberFormat="1" applyFont="1" applyFill="1" applyBorder="1" applyAlignment="1">
      <alignment horizontal="center" vertical="center" wrapText="1"/>
      <protection/>
    </xf>
    <xf numFmtId="49" fontId="8" fillId="38" borderId="20" xfId="57" applyNumberFormat="1" applyFont="1" applyFill="1" applyBorder="1" applyAlignment="1">
      <alignment horizontal="center" vertical="center" wrapText="1"/>
      <protection/>
    </xf>
    <xf numFmtId="49" fontId="8" fillId="38" borderId="24" xfId="57" applyNumberFormat="1" applyFont="1" applyFill="1" applyBorder="1" applyAlignment="1">
      <alignment horizontal="center" vertical="center" wrapText="1"/>
      <protection/>
    </xf>
    <xf numFmtId="0" fontId="8" fillId="38" borderId="20" xfId="0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center" vertical="center" wrapText="1"/>
    </xf>
    <xf numFmtId="0" fontId="0" fillId="40" borderId="41" xfId="53" applyFont="1" applyFill="1" applyBorder="1" applyAlignment="1">
      <alignment horizontal="left" vertical="center" wrapText="1"/>
      <protection/>
    </xf>
    <xf numFmtId="0" fontId="0" fillId="40" borderId="40" xfId="53" applyFont="1" applyFill="1" applyBorder="1" applyAlignment="1">
      <alignment horizontal="left" vertical="center" wrapText="1"/>
      <protection/>
    </xf>
    <xf numFmtId="0" fontId="0" fillId="40" borderId="62" xfId="53" applyFont="1" applyFill="1" applyBorder="1" applyAlignment="1">
      <alignment horizontal="left" vertical="center" wrapText="1"/>
      <protection/>
    </xf>
    <xf numFmtId="0" fontId="8" fillId="38" borderId="38" xfId="53" applyFont="1" applyFill="1" applyBorder="1" applyAlignment="1">
      <alignment horizontal="left" vertical="center" wrapText="1"/>
      <protection/>
    </xf>
    <xf numFmtId="4" fontId="8" fillId="38" borderId="38" xfId="57" applyNumberFormat="1" applyFont="1" applyFill="1" applyBorder="1" applyAlignment="1">
      <alignment horizontal="center" vertical="center" wrapText="1"/>
      <protection/>
    </xf>
    <xf numFmtId="4" fontId="8" fillId="38" borderId="44" xfId="57" applyNumberFormat="1" applyFont="1" applyFill="1" applyBorder="1" applyAlignment="1">
      <alignment horizontal="center" vertical="center" wrapText="1"/>
      <protection/>
    </xf>
    <xf numFmtId="4" fontId="8" fillId="38" borderId="50" xfId="57" applyNumberFormat="1" applyFont="1" applyFill="1" applyBorder="1" applyAlignment="1">
      <alignment horizontal="center" vertical="center" wrapText="1"/>
      <protection/>
    </xf>
    <xf numFmtId="0" fontId="8" fillId="38" borderId="41" xfId="0" applyFont="1" applyFill="1" applyBorder="1" applyAlignment="1">
      <alignment horizontal="center" vertical="center"/>
    </xf>
    <xf numFmtId="0" fontId="8" fillId="38" borderId="40" xfId="0" applyFont="1" applyFill="1" applyBorder="1" applyAlignment="1">
      <alignment horizontal="center" vertical="center"/>
    </xf>
    <xf numFmtId="0" fontId="8" fillId="38" borderId="62" xfId="0" applyFont="1" applyFill="1" applyBorder="1" applyAlignment="1">
      <alignment horizontal="center" vertical="center"/>
    </xf>
    <xf numFmtId="0" fontId="8" fillId="38" borderId="41" xfId="0" applyFont="1" applyFill="1" applyBorder="1" applyAlignment="1">
      <alignment horizontal="center" vertical="center" wrapText="1"/>
    </xf>
    <xf numFmtId="0" fontId="8" fillId="38" borderId="62" xfId="0" applyFont="1" applyFill="1" applyBorder="1" applyAlignment="1">
      <alignment horizontal="center" vertical="center" wrapText="1"/>
    </xf>
    <xf numFmtId="171" fontId="8" fillId="0" borderId="41" xfId="86" applyFont="1" applyFill="1" applyBorder="1" applyAlignment="1">
      <alignment horizontal="center" vertical="center" wrapText="1"/>
    </xf>
    <xf numFmtId="171" fontId="8" fillId="0" borderId="62" xfId="86" applyFont="1" applyFill="1" applyBorder="1" applyAlignment="1">
      <alignment horizontal="center" vertical="center" wrapText="1"/>
    </xf>
    <xf numFmtId="171" fontId="0" fillId="0" borderId="41" xfId="86" applyFont="1" applyFill="1" applyBorder="1" applyAlignment="1">
      <alignment horizontal="center" vertical="center" wrapText="1"/>
    </xf>
    <xf numFmtId="171" fontId="0" fillId="0" borderId="62" xfId="86" applyFont="1" applyFill="1" applyBorder="1" applyAlignment="1">
      <alignment horizontal="center" vertical="center" wrapText="1"/>
    </xf>
    <xf numFmtId="43" fontId="8" fillId="38" borderId="44" xfId="57" applyNumberFormat="1" applyFont="1" applyFill="1" applyBorder="1" applyAlignment="1">
      <alignment horizontal="center" vertical="center" wrapText="1"/>
      <protection/>
    </xf>
    <xf numFmtId="0" fontId="4" fillId="34" borderId="44" xfId="57" applyFont="1" applyFill="1" applyBorder="1" applyAlignment="1">
      <alignment horizontal="center" vertical="center" wrapText="1"/>
      <protection/>
    </xf>
    <xf numFmtId="0" fontId="4" fillId="34" borderId="32" xfId="57" applyFont="1" applyFill="1" applyBorder="1" applyAlignment="1">
      <alignment horizontal="center" vertical="center" wrapText="1"/>
      <protection/>
    </xf>
    <xf numFmtId="0" fontId="4" fillId="34" borderId="50" xfId="57" applyFont="1" applyFill="1" applyBorder="1" applyAlignment="1">
      <alignment horizontal="center" vertical="center" wrapText="1"/>
      <protection/>
    </xf>
    <xf numFmtId="0" fontId="4" fillId="34" borderId="51" xfId="57" applyFont="1" applyFill="1" applyBorder="1" applyAlignment="1">
      <alignment horizontal="center" vertical="center" wrapText="1"/>
      <protection/>
    </xf>
    <xf numFmtId="0" fontId="4" fillId="34" borderId="30" xfId="57" applyFont="1" applyFill="1" applyBorder="1" applyAlignment="1">
      <alignment horizontal="center" vertical="center" wrapText="1"/>
      <protection/>
    </xf>
    <xf numFmtId="0" fontId="4" fillId="34" borderId="52" xfId="57" applyFont="1" applyFill="1" applyBorder="1" applyAlignment="1">
      <alignment horizontal="center" vertical="center" wrapText="1"/>
      <protection/>
    </xf>
    <xf numFmtId="0" fontId="8" fillId="34" borderId="20" xfId="57" applyFont="1" applyFill="1" applyBorder="1" applyAlignment="1">
      <alignment horizontal="center" vertical="center" wrapText="1"/>
      <protection/>
    </xf>
    <xf numFmtId="0" fontId="8" fillId="34" borderId="22" xfId="57" applyFont="1" applyFill="1" applyBorder="1" applyAlignment="1">
      <alignment horizontal="center" vertical="center" wrapText="1"/>
      <protection/>
    </xf>
    <xf numFmtId="0" fontId="8" fillId="34" borderId="41" xfId="57" applyFont="1" applyFill="1" applyBorder="1" applyAlignment="1">
      <alignment horizontal="center" vertical="center" wrapText="1"/>
      <protection/>
    </xf>
    <xf numFmtId="0" fontId="8" fillId="34" borderId="62" xfId="57" applyFont="1" applyFill="1" applyBorder="1" applyAlignment="1">
      <alignment horizontal="center" vertical="center" wrapText="1"/>
      <protection/>
    </xf>
    <xf numFmtId="0" fontId="8" fillId="34" borderId="41" xfId="0" applyFont="1" applyFill="1" applyBorder="1" applyAlignment="1">
      <alignment horizontal="center" vertical="center"/>
    </xf>
    <xf numFmtId="0" fontId="8" fillId="34" borderId="6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34" borderId="41" xfId="57" applyFont="1" applyFill="1" applyBorder="1" applyAlignment="1">
      <alignment horizontal="left" vertical="center" wrapText="1"/>
      <protection/>
    </xf>
    <xf numFmtId="0" fontId="8" fillId="34" borderId="40" xfId="57" applyFont="1" applyFill="1" applyBorder="1" applyAlignment="1">
      <alignment horizontal="left" vertical="center" wrapText="1"/>
      <protection/>
    </xf>
    <xf numFmtId="0" fontId="8" fillId="34" borderId="62" xfId="57" applyFont="1" applyFill="1" applyBorder="1" applyAlignment="1">
      <alignment horizontal="left" vertical="center" wrapText="1"/>
      <protection/>
    </xf>
    <xf numFmtId="0" fontId="0" fillId="34" borderId="41" xfId="57" applyFont="1" applyFill="1" applyBorder="1" applyAlignment="1">
      <alignment horizontal="left" vertical="center" wrapText="1"/>
      <protection/>
    </xf>
    <xf numFmtId="0" fontId="0" fillId="34" borderId="40" xfId="57" applyFont="1" applyFill="1" applyBorder="1" applyAlignment="1">
      <alignment horizontal="left" vertical="center" wrapText="1"/>
      <protection/>
    </xf>
    <xf numFmtId="0" fontId="0" fillId="34" borderId="62" xfId="57" applyFont="1" applyFill="1" applyBorder="1" applyAlignment="1">
      <alignment horizontal="left" vertical="center" wrapText="1"/>
      <protection/>
    </xf>
    <xf numFmtId="0" fontId="0" fillId="0" borderId="40" xfId="57" applyFont="1" applyFill="1" applyBorder="1" applyAlignment="1">
      <alignment horizontal="left" vertical="center" wrapText="1"/>
      <protection/>
    </xf>
    <xf numFmtId="0" fontId="0" fillId="0" borderId="62" xfId="57" applyFont="1" applyFill="1" applyBorder="1" applyAlignment="1">
      <alignment horizontal="left" vertical="center" wrapText="1"/>
      <protection/>
    </xf>
    <xf numFmtId="0" fontId="8" fillId="34" borderId="38" xfId="57" applyFont="1" applyFill="1" applyBorder="1" applyAlignment="1">
      <alignment horizontal="center" vertical="center" wrapText="1"/>
      <protection/>
    </xf>
    <xf numFmtId="0" fontId="8" fillId="34" borderId="20" xfId="57" applyFont="1" applyFill="1" applyBorder="1" applyAlignment="1">
      <alignment horizontal="center" vertical="center"/>
      <protection/>
    </xf>
    <xf numFmtId="0" fontId="8" fillId="34" borderId="22" xfId="57" applyFont="1" applyFill="1" applyBorder="1" applyAlignment="1">
      <alignment horizontal="center" vertical="center"/>
      <protection/>
    </xf>
    <xf numFmtId="0" fontId="98" fillId="0" borderId="0" xfId="50" applyFont="1" applyBorder="1" applyAlignment="1">
      <alignment horizontal="center" readingOrder="2"/>
      <protection/>
    </xf>
    <xf numFmtId="0" fontId="97" fillId="0" borderId="0" xfId="50" applyFont="1" applyAlignment="1">
      <alignment horizontal="center" readingOrder="2"/>
      <protection/>
    </xf>
    <xf numFmtId="171" fontId="3" fillId="0" borderId="49" xfId="55" applyNumberFormat="1" applyFont="1" applyFill="1" applyBorder="1" applyAlignment="1">
      <alignment horizontal="center" vertical="center"/>
      <protection/>
    </xf>
    <xf numFmtId="171" fontId="3" fillId="0" borderId="0" xfId="55" applyNumberFormat="1" applyFont="1" applyFill="1" applyBorder="1" applyAlignment="1">
      <alignment horizontal="center" vertical="center"/>
      <protection/>
    </xf>
    <xf numFmtId="171" fontId="3" fillId="0" borderId="21" xfId="55" applyNumberFormat="1" applyFont="1" applyFill="1" applyBorder="1" applyAlignment="1">
      <alignment horizontal="center" vertical="center"/>
      <protection/>
    </xf>
    <xf numFmtId="3" fontId="4" fillId="0" borderId="55" xfId="55" applyNumberFormat="1" applyFont="1" applyFill="1" applyBorder="1" applyAlignment="1">
      <alignment horizontal="center" vertical="center"/>
      <protection/>
    </xf>
    <xf numFmtId="3" fontId="4" fillId="0" borderId="45" xfId="55" applyNumberFormat="1" applyFont="1" applyFill="1" applyBorder="1" applyAlignment="1">
      <alignment horizontal="center" vertical="center"/>
      <protection/>
    </xf>
    <xf numFmtId="171" fontId="3" fillId="0" borderId="49" xfId="55" applyNumberFormat="1" applyFont="1" applyBorder="1" applyAlignment="1">
      <alignment horizontal="center" vertical="center"/>
      <protection/>
    </xf>
    <xf numFmtId="171" fontId="3" fillId="0" borderId="0" xfId="55" applyNumberFormat="1" applyFont="1" applyBorder="1" applyAlignment="1">
      <alignment horizontal="center" vertical="center"/>
      <protection/>
    </xf>
    <xf numFmtId="171" fontId="3" fillId="0" borderId="21" xfId="55" applyNumberFormat="1" applyFont="1" applyBorder="1" applyAlignment="1">
      <alignment horizontal="center" vertical="center"/>
      <protection/>
    </xf>
    <xf numFmtId="0" fontId="3" fillId="0" borderId="71" xfId="55" applyFont="1" applyFill="1" applyBorder="1" applyAlignment="1">
      <alignment horizontal="lef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3" fontId="4" fillId="0" borderId="72" xfId="55" applyNumberFormat="1" applyFont="1" applyFill="1" applyBorder="1" applyAlignment="1">
      <alignment horizontal="center" vertical="center"/>
      <protection/>
    </xf>
    <xf numFmtId="3" fontId="4" fillId="0" borderId="12" xfId="55" applyNumberFormat="1" applyFont="1" applyFill="1" applyBorder="1" applyAlignment="1">
      <alignment horizontal="center" vertical="center" wrapText="1"/>
      <protection/>
    </xf>
    <xf numFmtId="3" fontId="4" fillId="0" borderId="14" xfId="55" applyNumberFormat="1" applyFont="1" applyFill="1" applyBorder="1" applyAlignment="1">
      <alignment horizontal="center" vertical="center" wrapText="1"/>
      <protection/>
    </xf>
    <xf numFmtId="3" fontId="4" fillId="0" borderId="36" xfId="55" applyNumberFormat="1" applyFont="1" applyFill="1" applyBorder="1" applyAlignment="1">
      <alignment horizontal="center" vertical="center" wrapText="1"/>
      <protection/>
    </xf>
    <xf numFmtId="3" fontId="4" fillId="0" borderId="66" xfId="55" applyNumberFormat="1" applyFont="1" applyFill="1" applyBorder="1" applyAlignment="1">
      <alignment horizontal="center" vertical="center" wrapText="1"/>
      <protection/>
    </xf>
    <xf numFmtId="171" fontId="3" fillId="0" borderId="44" xfId="55" applyNumberFormat="1" applyFont="1" applyBorder="1" applyAlignment="1">
      <alignment horizontal="center" vertical="center"/>
      <protection/>
    </xf>
    <xf numFmtId="171" fontId="3" fillId="0" borderId="32" xfId="55" applyNumberFormat="1" applyFont="1" applyBorder="1" applyAlignment="1">
      <alignment horizontal="center" vertical="center"/>
      <protection/>
    </xf>
    <xf numFmtId="171" fontId="3" fillId="0" borderId="50" xfId="55" applyNumberFormat="1" applyFont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left" vertical="center"/>
      <protection/>
    </xf>
    <xf numFmtId="171" fontId="3" fillId="0" borderId="51" xfId="55" applyNumberFormat="1" applyFont="1" applyBorder="1" applyAlignment="1">
      <alignment horizontal="center" vertical="center"/>
      <protection/>
    </xf>
    <xf numFmtId="171" fontId="3" fillId="0" borderId="30" xfId="55" applyNumberFormat="1" applyFont="1" applyBorder="1" applyAlignment="1">
      <alignment horizontal="center" vertical="center"/>
      <protection/>
    </xf>
    <xf numFmtId="171" fontId="3" fillId="0" borderId="52" xfId="55" applyNumberFormat="1" applyFont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71" fontId="3" fillId="0" borderId="51" xfId="55" applyNumberFormat="1" applyFont="1" applyFill="1" applyBorder="1" applyAlignment="1">
      <alignment horizontal="center" vertical="center"/>
      <protection/>
    </xf>
    <xf numFmtId="171" fontId="3" fillId="0" borderId="30" xfId="55" applyNumberFormat="1" applyFont="1" applyFill="1" applyBorder="1" applyAlignment="1">
      <alignment horizontal="center" vertical="center"/>
      <protection/>
    </xf>
    <xf numFmtId="171" fontId="3" fillId="0" borderId="52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71" fontId="3" fillId="0" borderId="44" xfId="55" applyNumberFormat="1" applyFont="1" applyFill="1" applyBorder="1" applyAlignment="1">
      <alignment horizontal="center" vertical="center"/>
      <protection/>
    </xf>
    <xf numFmtId="171" fontId="3" fillId="0" borderId="32" xfId="55" applyNumberFormat="1" applyFont="1" applyFill="1" applyBorder="1" applyAlignment="1">
      <alignment horizontal="center" vertical="center"/>
      <protection/>
    </xf>
    <xf numFmtId="171" fontId="3" fillId="0" borderId="50" xfId="55" applyNumberFormat="1" applyFont="1" applyFill="1" applyBorder="1" applyAlignment="1">
      <alignment horizontal="center" vertical="center"/>
      <protection/>
    </xf>
    <xf numFmtId="0" fontId="3" fillId="0" borderId="51" xfId="55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center" vertical="center"/>
      <protection/>
    </xf>
    <xf numFmtId="0" fontId="3" fillId="0" borderId="44" xfId="55" applyFont="1" applyFill="1" applyBorder="1" applyAlignment="1">
      <alignment horizontal="left" vertical="center"/>
      <protection/>
    </xf>
    <xf numFmtId="0" fontId="3" fillId="0" borderId="32" xfId="55" applyFont="1" applyFill="1" applyBorder="1" applyAlignment="1">
      <alignment horizontal="left" vertical="center"/>
      <protection/>
    </xf>
    <xf numFmtId="0" fontId="3" fillId="0" borderId="49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4" fillId="0" borderId="44" xfId="55" applyFont="1" applyFill="1" applyBorder="1" applyAlignment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51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172" fontId="4" fillId="0" borderId="38" xfId="55" applyNumberFormat="1" applyFont="1" applyFill="1" applyBorder="1" applyAlignment="1">
      <alignment horizontal="center" vertical="center" wrapText="1"/>
      <protection/>
    </xf>
    <xf numFmtId="0" fontId="4" fillId="0" borderId="41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62" xfId="55" applyFont="1" applyFill="1" applyBorder="1" applyAlignment="1">
      <alignment horizontal="center" vertical="center"/>
      <protection/>
    </xf>
    <xf numFmtId="0" fontId="4" fillId="0" borderId="44" xfId="55" applyFont="1" applyFill="1" applyBorder="1" applyAlignment="1">
      <alignment horizontal="center" vertical="center" wrapText="1"/>
      <protection/>
    </xf>
    <xf numFmtId="0" fontId="4" fillId="0" borderId="32" xfId="55" applyFont="1" applyFill="1" applyBorder="1" applyAlignment="1">
      <alignment horizontal="center" vertical="center" wrapText="1"/>
      <protection/>
    </xf>
    <xf numFmtId="0" fontId="4" fillId="0" borderId="50" xfId="55" applyFont="1" applyFill="1" applyBorder="1" applyAlignment="1">
      <alignment horizontal="center" vertical="center" wrapText="1"/>
      <protection/>
    </xf>
    <xf numFmtId="0" fontId="4" fillId="0" borderId="51" xfId="55" applyFont="1" applyFill="1" applyBorder="1" applyAlignment="1">
      <alignment horizontal="center" vertical="center" wrapText="1"/>
      <protection/>
    </xf>
    <xf numFmtId="0" fontId="4" fillId="0" borderId="30" xfId="55" applyFont="1" applyFill="1" applyBorder="1" applyAlignment="1">
      <alignment horizontal="center" vertical="center" wrapText="1"/>
      <protection/>
    </xf>
    <xf numFmtId="0" fontId="4" fillId="0" borderId="52" xfId="55" applyFont="1" applyFill="1" applyBorder="1" applyAlignment="1">
      <alignment horizontal="center" vertical="center" wrapText="1"/>
      <protection/>
    </xf>
    <xf numFmtId="3" fontId="3" fillId="0" borderId="71" xfId="55" applyNumberFormat="1" applyFont="1" applyFill="1" applyBorder="1" applyAlignment="1">
      <alignment horizontal="center" vertical="center"/>
      <protection/>
    </xf>
    <xf numFmtId="3" fontId="3" fillId="0" borderId="39" xfId="55" applyNumberFormat="1" applyFont="1" applyFill="1" applyBorder="1" applyAlignment="1">
      <alignment horizontal="center" vertical="center"/>
      <protection/>
    </xf>
    <xf numFmtId="3" fontId="3" fillId="0" borderId="65" xfId="55" applyNumberFormat="1" applyFont="1" applyFill="1" applyBorder="1" applyAlignment="1">
      <alignment horizontal="center" vertical="center"/>
      <protection/>
    </xf>
    <xf numFmtId="171" fontId="3" fillId="0" borderId="11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3" fillId="0" borderId="21" xfId="0" applyNumberFormat="1" applyFont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171" fontId="3" fillId="0" borderId="51" xfId="84" applyFont="1" applyFill="1" applyBorder="1" applyAlignment="1" applyProtection="1">
      <alignment horizontal="center" vertical="center"/>
      <protection/>
    </xf>
    <xf numFmtId="171" fontId="3" fillId="0" borderId="52" xfId="84" applyFont="1" applyFill="1" applyBorder="1" applyAlignment="1" applyProtection="1">
      <alignment horizontal="center" vertical="center"/>
      <protection/>
    </xf>
    <xf numFmtId="171" fontId="3" fillId="0" borderId="13" xfId="84" applyFont="1" applyFill="1" applyBorder="1" applyAlignment="1">
      <alignment horizontal="center" vertical="center"/>
    </xf>
    <xf numFmtId="171" fontId="3" fillId="0" borderId="48" xfId="84" applyFont="1" applyFill="1" applyBorder="1" applyAlignment="1">
      <alignment horizontal="center" vertical="center"/>
    </xf>
    <xf numFmtId="2" fontId="3" fillId="0" borderId="0" xfId="84" applyNumberFormat="1" applyFont="1" applyFill="1" applyBorder="1" applyAlignment="1" applyProtection="1">
      <alignment horizontal="right" vertical="center"/>
      <protection/>
    </xf>
    <xf numFmtId="2" fontId="3" fillId="0" borderId="21" xfId="84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1" fontId="0" fillId="0" borderId="25" xfId="84" applyFill="1" applyBorder="1" applyAlignment="1">
      <alignment horizontal="center" vertical="center"/>
    </xf>
    <xf numFmtId="171" fontId="0" fillId="0" borderId="61" xfId="84" applyFill="1" applyBorder="1" applyAlignment="1">
      <alignment horizontal="center" vertical="center"/>
    </xf>
    <xf numFmtId="171" fontId="0" fillId="0" borderId="47" xfId="84" applyFill="1" applyBorder="1" applyAlignment="1">
      <alignment horizontal="center" vertical="center"/>
    </xf>
    <xf numFmtId="171" fontId="3" fillId="0" borderId="15" xfId="84" applyFont="1" applyFill="1" applyBorder="1" applyAlignment="1">
      <alignment horizontal="center" vertical="center"/>
    </xf>
    <xf numFmtId="171" fontId="3" fillId="0" borderId="17" xfId="84" applyFont="1" applyFill="1" applyBorder="1" applyAlignment="1">
      <alignment horizontal="center" vertical="center"/>
    </xf>
    <xf numFmtId="171" fontId="3" fillId="0" borderId="65" xfId="84" applyFont="1" applyFill="1" applyBorder="1" applyAlignment="1">
      <alignment horizontal="center" vertical="center"/>
    </xf>
    <xf numFmtId="2" fontId="3" fillId="0" borderId="51" xfId="84" applyNumberFormat="1" applyFont="1" applyFill="1" applyBorder="1" applyAlignment="1" applyProtection="1">
      <alignment horizontal="right" vertical="center"/>
      <protection/>
    </xf>
    <xf numFmtId="2" fontId="3" fillId="0" borderId="52" xfId="84" applyNumberFormat="1" applyFont="1" applyFill="1" applyBorder="1" applyAlignment="1" applyProtection="1">
      <alignment horizontal="right" vertical="center"/>
      <protection/>
    </xf>
    <xf numFmtId="171" fontId="3" fillId="0" borderId="46" xfId="84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" fontId="3" fillId="0" borderId="34" xfId="84" applyNumberFormat="1" applyFont="1" applyFill="1" applyBorder="1" applyAlignment="1" applyProtection="1">
      <alignment horizontal="right" vertical="center"/>
      <protection/>
    </xf>
    <xf numFmtId="2" fontId="3" fillId="0" borderId="48" xfId="84" applyNumberFormat="1" applyFont="1" applyFill="1" applyBorder="1" applyAlignment="1" applyProtection="1">
      <alignment horizontal="right" vertical="center"/>
      <protection/>
    </xf>
    <xf numFmtId="49" fontId="3" fillId="0" borderId="34" xfId="0" applyNumberFormat="1" applyFont="1" applyBorder="1" applyAlignment="1">
      <alignment horizontal="left"/>
    </xf>
    <xf numFmtId="0" fontId="4" fillId="34" borderId="72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171" fontId="3" fillId="0" borderId="13" xfId="84" applyFont="1" applyFill="1" applyBorder="1" applyAlignment="1" applyProtection="1">
      <alignment horizontal="center" vertical="center"/>
      <protection/>
    </xf>
    <xf numFmtId="171" fontId="3" fillId="0" borderId="36" xfId="84" applyFont="1" applyFill="1" applyBorder="1" applyAlignment="1" applyProtection="1">
      <alignment horizontal="center" vertical="center"/>
      <protection/>
    </xf>
    <xf numFmtId="171" fontId="3" fillId="0" borderId="25" xfId="84" applyNumberFormat="1" applyFont="1" applyFill="1" applyBorder="1" applyAlignment="1" applyProtection="1">
      <alignment horizontal="center" vertical="center"/>
      <protection/>
    </xf>
    <xf numFmtId="171" fontId="3" fillId="0" borderId="69" xfId="84" applyNumberFormat="1" applyFont="1" applyFill="1" applyBorder="1" applyAlignment="1" applyProtection="1">
      <alignment horizontal="center" vertical="center"/>
      <protection/>
    </xf>
    <xf numFmtId="4" fontId="3" fillId="0" borderId="49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171" fontId="3" fillId="0" borderId="38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4" fontId="3" fillId="0" borderId="65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 indent="7"/>
    </xf>
    <xf numFmtId="0" fontId="4" fillId="0" borderId="0" xfId="0" applyFont="1" applyFill="1" applyBorder="1" applyAlignment="1">
      <alignment horizontal="left" vertical="center" wrapText="1" indent="7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171" fontId="3" fillId="0" borderId="35" xfId="0" applyNumberFormat="1" applyFont="1" applyBorder="1" applyAlignment="1">
      <alignment horizontal="center" vertical="center"/>
    </xf>
    <xf numFmtId="171" fontId="3" fillId="0" borderId="30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171" fontId="3" fillId="34" borderId="38" xfId="84" applyFont="1" applyFill="1" applyBorder="1" applyAlignment="1" applyProtection="1">
      <alignment horizontal="left" vertical="center" wrapText="1"/>
      <protection/>
    </xf>
    <xf numFmtId="171" fontId="3" fillId="34" borderId="38" xfId="84" applyFont="1" applyFill="1" applyBorder="1" applyAlignment="1" applyProtection="1">
      <alignment horizontal="center" vertical="center" wrapText="1"/>
      <protection/>
    </xf>
    <xf numFmtId="171" fontId="3" fillId="0" borderId="38" xfId="84" applyFont="1" applyFill="1" applyBorder="1" applyAlignment="1" applyProtection="1">
      <alignment horizontal="center" vertical="center" wrapText="1"/>
      <protection/>
    </xf>
    <xf numFmtId="171" fontId="3" fillId="0" borderId="41" xfId="84" applyFont="1" applyFill="1" applyBorder="1" applyAlignment="1" applyProtection="1">
      <alignment horizontal="center" vertical="center" wrapText="1"/>
      <protection/>
    </xf>
    <xf numFmtId="171" fontId="3" fillId="0" borderId="38" xfId="84" applyFont="1" applyFill="1" applyBorder="1" applyAlignment="1" applyProtection="1">
      <alignment horizontal="right" vertical="center"/>
      <protection/>
    </xf>
    <xf numFmtId="171" fontId="4" fillId="34" borderId="38" xfId="84" applyFont="1" applyFill="1" applyBorder="1" applyAlignment="1" applyProtection="1">
      <alignment horizontal="left" vertical="center" wrapText="1"/>
      <protection/>
    </xf>
    <xf numFmtId="171" fontId="4" fillId="34" borderId="38" xfId="84" applyFont="1" applyFill="1" applyBorder="1" applyAlignment="1" applyProtection="1">
      <alignment horizontal="center" vertical="center" wrapText="1"/>
      <protection/>
    </xf>
    <xf numFmtId="171" fontId="4" fillId="34" borderId="41" xfId="84" applyFont="1" applyFill="1" applyBorder="1" applyAlignment="1" applyProtection="1">
      <alignment horizontal="center" vertical="center" wrapText="1"/>
      <protection/>
    </xf>
    <xf numFmtId="171" fontId="3" fillId="0" borderId="38" xfId="84" applyFont="1" applyFill="1" applyBorder="1" applyAlignment="1">
      <alignment horizontal="center" vertical="center" wrapText="1"/>
    </xf>
    <xf numFmtId="171" fontId="3" fillId="0" borderId="41" xfId="84" applyFont="1" applyFill="1" applyBorder="1" applyAlignment="1">
      <alignment horizontal="center" vertical="center" wrapText="1"/>
    </xf>
    <xf numFmtId="171" fontId="4" fillId="0" borderId="38" xfId="84" applyFont="1" applyFill="1" applyBorder="1" applyAlignment="1">
      <alignment horizontal="center" vertical="center" wrapText="1"/>
    </xf>
    <xf numFmtId="171" fontId="4" fillId="0" borderId="41" xfId="84" applyFont="1" applyFill="1" applyBorder="1" applyAlignment="1">
      <alignment horizontal="center" vertical="center" wrapText="1"/>
    </xf>
    <xf numFmtId="171" fontId="4" fillId="34" borderId="38" xfId="84" applyFont="1" applyFill="1" applyBorder="1" applyAlignment="1">
      <alignment horizontal="center" vertical="center" wrapText="1"/>
    </xf>
    <xf numFmtId="171" fontId="4" fillId="34" borderId="41" xfId="84" applyFont="1" applyFill="1" applyBorder="1" applyAlignment="1">
      <alignment horizontal="center" vertical="center" wrapText="1"/>
    </xf>
    <xf numFmtId="171" fontId="4" fillId="34" borderId="41" xfId="74" applyNumberFormat="1" applyFont="1" applyFill="1" applyBorder="1" applyAlignment="1" applyProtection="1">
      <alignment horizontal="center" vertical="center" wrapText="1"/>
      <protection/>
    </xf>
    <xf numFmtId="171" fontId="4" fillId="34" borderId="62" xfId="74" applyNumberFormat="1" applyFont="1" applyFill="1" applyBorder="1" applyAlignment="1" applyProtection="1">
      <alignment horizontal="center" vertical="center" wrapText="1"/>
      <protection/>
    </xf>
    <xf numFmtId="0" fontId="4" fillId="34" borderId="5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37" fontId="4" fillId="34" borderId="19" xfId="0" applyNumberFormat="1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4" fontId="4" fillId="34" borderId="77" xfId="0" applyNumberFormat="1" applyFont="1" applyFill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4 2 3" xfId="53"/>
    <cellStyle name="Normal_LRF 6º BIMESTRE RREO 2008" xfId="54"/>
    <cellStyle name="Normal_LRF 6º BIMESTRE RREO 2008 2" xfId="55"/>
    <cellStyle name="Normal_LRF 6º BIMESTRE RREO 2009 2" xfId="56"/>
    <cellStyle name="Normal_SAUDE 3º BIM_2010" xfId="57"/>
    <cellStyle name="Nota" xfId="58"/>
    <cellStyle name="Percent" xfId="59"/>
    <cellStyle name="Porcentagem_SAUDE 3º BIM_2010" xfId="60"/>
    <cellStyle name="Saída" xfId="61"/>
    <cellStyle name="Comma [0]" xfId="62"/>
    <cellStyle name="Separador de milhares 2" xfId="63"/>
    <cellStyle name="Separador de milhares 2 2" xfId="64"/>
    <cellStyle name="Separador de milhares 2 2 2" xfId="65"/>
    <cellStyle name="Separador de milhares 2 2 2 2" xfId="66"/>
    <cellStyle name="Separador de milhares 3" xfId="67"/>
    <cellStyle name="Separador de milhares 3 2" xfId="68"/>
    <cellStyle name="Separador de milhares 3 2 2" xfId="69"/>
    <cellStyle name="Separador de milhares 4" xfId="70"/>
    <cellStyle name="Separador de milhares_LRF 6º BIMESTRE RREO 2008" xfId="71"/>
    <cellStyle name="Separador de milhares_LRF 6º BIMESTRE RREO 2008 2" xfId="72"/>
    <cellStyle name="Separador de milhares_LRF 6º BIMESTRE RREO 2009 2" xfId="73"/>
    <cellStyle name="Separador de milhares_LRF 6º BIMESTRE RREO 2010" xfId="74"/>
    <cellStyle name="Separador de milhares_SAUDE 3º BIM_2010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2" xfId="85"/>
    <cellStyle name="Vírgula 3" xfId="86"/>
    <cellStyle name="Vírgula 4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114300</xdr:rowOff>
    </xdr:from>
    <xdr:to>
      <xdr:col>0</xdr:col>
      <xdr:colOff>1066800</xdr:colOff>
      <xdr:row>5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04800"/>
          <a:ext cx="809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102</xdr:row>
      <xdr:rowOff>66675</xdr:rowOff>
    </xdr:from>
    <xdr:to>
      <xdr:col>0</xdr:col>
      <xdr:colOff>381000</xdr:colOff>
      <xdr:row>103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04800" y="24317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1019175</xdr:colOff>
      <xdr:row>86</xdr:row>
      <xdr:rowOff>47625</xdr:rowOff>
    </xdr:from>
    <xdr:ext cx="2724150" cy="266700"/>
    <xdr:sp fLocksText="0">
      <xdr:nvSpPr>
        <xdr:cNvPr id="3" name="CaixaDeTexto 16"/>
        <xdr:cNvSpPr txBox="1">
          <a:spLocks noChangeArrowheads="1"/>
        </xdr:cNvSpPr>
      </xdr:nvSpPr>
      <xdr:spPr>
        <a:xfrm>
          <a:off x="1019175" y="20697825"/>
          <a:ext cx="2724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600075</xdr:colOff>
      <xdr:row>85</xdr:row>
      <xdr:rowOff>228600</xdr:rowOff>
    </xdr:from>
    <xdr:ext cx="2028825" cy="266700"/>
    <xdr:sp fLocksText="0">
      <xdr:nvSpPr>
        <xdr:cNvPr id="4" name="CaixaDeTexto 17"/>
        <xdr:cNvSpPr txBox="1">
          <a:spLocks noChangeArrowheads="1"/>
        </xdr:cNvSpPr>
      </xdr:nvSpPr>
      <xdr:spPr>
        <a:xfrm>
          <a:off x="6381750" y="20640675"/>
          <a:ext cx="2028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304800</xdr:colOff>
      <xdr:row>99</xdr:row>
      <xdr:rowOff>66675</xdr:rowOff>
    </xdr:from>
    <xdr:to>
      <xdr:col>0</xdr:col>
      <xdr:colOff>381000</xdr:colOff>
      <xdr:row>100</xdr:row>
      <xdr:rowOff>0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304800" y="23774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2676525</xdr:colOff>
      <xdr:row>99</xdr:row>
      <xdr:rowOff>180975</xdr:rowOff>
    </xdr:from>
    <xdr:to>
      <xdr:col>9</xdr:col>
      <xdr:colOff>114300</xdr:colOff>
      <xdr:row>105</xdr:row>
      <xdr:rowOff>152400</xdr:rowOff>
    </xdr:to>
    <xdr:grpSp>
      <xdr:nvGrpSpPr>
        <xdr:cNvPr id="6" name="Group 21"/>
        <xdr:cNvGrpSpPr>
          <a:grpSpLocks/>
        </xdr:cNvGrpSpPr>
      </xdr:nvGrpSpPr>
      <xdr:grpSpPr>
        <a:xfrm>
          <a:off x="2676525" y="23888700"/>
          <a:ext cx="11220450" cy="1114425"/>
          <a:chOff x="207" y="2562"/>
          <a:chExt cx="1150" cy="114"/>
        </a:xfrm>
        <a:solidFill>
          <a:srgbClr val="FFFFFF"/>
        </a:solidFill>
      </xdr:grpSpPr>
      <xdr:grpSp>
        <xdr:nvGrpSpPr>
          <xdr:cNvPr id="7" name="Group 22"/>
          <xdr:cNvGrpSpPr>
            <a:grpSpLocks/>
          </xdr:cNvGrpSpPr>
        </xdr:nvGrpSpPr>
        <xdr:grpSpPr>
          <a:xfrm>
            <a:off x="207" y="2562"/>
            <a:ext cx="1150" cy="74"/>
            <a:chOff x="3329" y="39615"/>
            <a:chExt cx="18781" cy="1136"/>
          </a:xfrm>
          <a:solidFill>
            <a:srgbClr val="FFFFFF"/>
          </a:solidFill>
        </xdr:grpSpPr>
        <xdr:sp fLocksText="0">
          <xdr:nvSpPr>
            <xdr:cNvPr id="8" name="Text Box 23"/>
            <xdr:cNvSpPr txBox="1">
              <a:spLocks noChangeArrowheads="1"/>
            </xdr:cNvSpPr>
          </xdr:nvSpPr>
          <xdr:spPr>
            <a:xfrm>
              <a:off x="3329" y="39615"/>
              <a:ext cx="6714" cy="11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José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de Jesus do Rosário Azzolini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Secretário Municipal da Fazenda</a:t>
              </a:r>
            </a:p>
          </xdr:txBody>
        </xdr:sp>
        <xdr:sp fLocksText="0">
          <xdr:nvSpPr>
            <xdr:cNvPr id="9" name="Text Box 24"/>
            <xdr:cNvSpPr txBox="1">
              <a:spLocks noChangeArrowheads="1"/>
            </xdr:cNvSpPr>
          </xdr:nvSpPr>
          <xdr:spPr>
            <a:xfrm>
              <a:off x="15842" y="39645"/>
              <a:ext cx="6268" cy="104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Liliane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Ribeiro Guterres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Controladora Geral do Município</a:t>
              </a:r>
            </a:p>
          </xdr:txBody>
        </xdr:sp>
      </xdr:grpSp>
      <xdr:sp>
        <xdr:nvSpPr>
          <xdr:cNvPr id="10" name="Text Box 28"/>
          <xdr:cNvSpPr txBox="1">
            <a:spLocks noChangeArrowheads="1"/>
          </xdr:cNvSpPr>
        </xdr:nvSpPr>
        <xdr:spPr>
          <a:xfrm>
            <a:off x="634" y="2591"/>
            <a:ext cx="30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Jairo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Câmara de Carvalho Filho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Contador Geral do Município 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CRC-MA 2074 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0</xdr:col>
      <xdr:colOff>638175</xdr:colOff>
      <xdr:row>4</xdr:row>
      <xdr:rowOff>28575</xdr:rowOff>
    </xdr:to>
    <xdr:pic>
      <xdr:nvPicPr>
        <xdr:cNvPr id="1" name="Figuras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102</xdr:row>
      <xdr:rowOff>0</xdr:rowOff>
    </xdr:from>
    <xdr:to>
      <xdr:col>4</xdr:col>
      <xdr:colOff>895350</xdr:colOff>
      <xdr:row>102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95275" y="26231850"/>
          <a:ext cx="9172575" cy="0"/>
          <a:chOff x="1215" y="38223"/>
          <a:chExt cx="12496" cy="731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880392129" y="26231850"/>
            <a:ext cx="359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215" y="26231850"/>
            <a:ext cx="360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1215" y="26231850"/>
            <a:ext cx="364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57150</xdr:colOff>
      <xdr:row>98</xdr:row>
      <xdr:rowOff>57150</xdr:rowOff>
    </xdr:from>
    <xdr:to>
      <xdr:col>4</xdr:col>
      <xdr:colOff>1104900</xdr:colOff>
      <xdr:row>104</xdr:row>
      <xdr:rowOff>28575</xdr:rowOff>
    </xdr:to>
    <xdr:grpSp>
      <xdr:nvGrpSpPr>
        <xdr:cNvPr id="6" name="Group 21"/>
        <xdr:cNvGrpSpPr>
          <a:grpSpLocks/>
        </xdr:cNvGrpSpPr>
      </xdr:nvGrpSpPr>
      <xdr:grpSpPr>
        <a:xfrm>
          <a:off x="57150" y="25641300"/>
          <a:ext cx="9620250" cy="1000125"/>
          <a:chOff x="292" y="2671"/>
          <a:chExt cx="894" cy="99"/>
        </a:xfrm>
        <a:solidFill>
          <a:srgbClr val="FFFFFF"/>
        </a:solidFill>
      </xdr:grpSpPr>
      <xdr:grpSp>
        <xdr:nvGrpSpPr>
          <xdr:cNvPr id="7" name="Group 22"/>
          <xdr:cNvGrpSpPr>
            <a:grpSpLocks/>
          </xdr:cNvGrpSpPr>
        </xdr:nvGrpSpPr>
        <xdr:grpSpPr>
          <a:xfrm>
            <a:off x="292" y="2671"/>
            <a:ext cx="894" cy="79"/>
            <a:chOff x="4547" y="39557"/>
            <a:chExt cx="15021" cy="1162"/>
          </a:xfrm>
          <a:solidFill>
            <a:srgbClr val="FFFFFF"/>
          </a:solidFill>
        </xdr:grpSpPr>
        <xdr:sp fLocksText="0">
          <xdr:nvSpPr>
            <xdr:cNvPr id="8" name="Text Box 23"/>
            <xdr:cNvSpPr txBox="1">
              <a:spLocks noChangeArrowheads="1"/>
            </xdr:cNvSpPr>
          </xdr:nvSpPr>
          <xdr:spPr>
            <a:xfrm>
              <a:off x="4547" y="39557"/>
              <a:ext cx="5963" cy="11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</a:t>
              </a: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de Jesus do Rosário Azzolini</a:t>
              </a: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24"/>
            <xdr:cNvSpPr txBox="1">
              <a:spLocks noChangeArrowheads="1"/>
            </xdr:cNvSpPr>
          </xdr:nvSpPr>
          <xdr:spPr>
            <a:xfrm>
              <a:off x="15208" y="39599"/>
              <a:ext cx="4360" cy="11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Liliane</a:t>
              </a: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Ribeiro Guterres</a:t>
              </a: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</a:t>
              </a:r>
            </a:p>
          </xdr:txBody>
        </xdr:sp>
      </xdr:grpSp>
      <xdr:sp>
        <xdr:nvSpPr>
          <xdr:cNvPr id="10" name="Text Box 28"/>
          <xdr:cNvSpPr txBox="1">
            <a:spLocks noChangeArrowheads="1"/>
          </xdr:cNvSpPr>
        </xdr:nvSpPr>
        <xdr:spPr>
          <a:xfrm>
            <a:off x="571" y="2676"/>
            <a:ext cx="428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Câmara de Carvalho Filho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 Geral do Município 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0</xdr:row>
      <xdr:rowOff>0</xdr:rowOff>
    </xdr:from>
    <xdr:to>
      <xdr:col>11</xdr:col>
      <xdr:colOff>47625</xdr:colOff>
      <xdr:row>5</xdr:row>
      <xdr:rowOff>66675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561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1600200</xdr:colOff>
      <xdr:row>137</xdr:row>
      <xdr:rowOff>161925</xdr:rowOff>
    </xdr:from>
    <xdr:to>
      <xdr:col>21</xdr:col>
      <xdr:colOff>152400</xdr:colOff>
      <xdr:row>141</xdr:row>
      <xdr:rowOff>161925</xdr:rowOff>
    </xdr:to>
    <xdr:grpSp>
      <xdr:nvGrpSpPr>
        <xdr:cNvPr id="2" name="Group 21"/>
        <xdr:cNvGrpSpPr>
          <a:grpSpLocks/>
        </xdr:cNvGrpSpPr>
      </xdr:nvGrpSpPr>
      <xdr:grpSpPr>
        <a:xfrm>
          <a:off x="8353425" y="30965775"/>
          <a:ext cx="11515725" cy="914400"/>
          <a:chOff x="207" y="2578"/>
          <a:chExt cx="1165" cy="92"/>
        </a:xfrm>
        <a:solidFill>
          <a:srgbClr val="FFFFFF"/>
        </a:solidFill>
      </xdr:grpSpPr>
      <xdr:grpSp>
        <xdr:nvGrpSpPr>
          <xdr:cNvPr id="3" name="Group 22"/>
          <xdr:cNvGrpSpPr>
            <a:grpSpLocks/>
          </xdr:cNvGrpSpPr>
        </xdr:nvGrpSpPr>
        <xdr:grpSpPr>
          <a:xfrm>
            <a:off x="207" y="2578"/>
            <a:ext cx="1165" cy="74"/>
            <a:chOff x="3329" y="39615"/>
            <a:chExt cx="19023" cy="1129"/>
          </a:xfrm>
          <a:solidFill>
            <a:srgbClr val="FFFFFF"/>
          </a:solidFill>
        </xdr:grpSpPr>
        <xdr:sp fLocksText="0">
          <xdr:nvSpPr>
            <xdr:cNvPr id="4" name="Text Box 23"/>
            <xdr:cNvSpPr txBox="1">
              <a:spLocks noChangeArrowheads="1"/>
            </xdr:cNvSpPr>
          </xdr:nvSpPr>
          <xdr:spPr>
            <a:xfrm>
              <a:off x="3329" y="39615"/>
              <a:ext cx="6701" cy="11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José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de Jesus do Rosário Azzolini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Secretário Municipal da Fazenda</a:t>
              </a:r>
            </a:p>
          </xdr:txBody>
        </xdr:sp>
        <xdr:sp fLocksText="0">
          <xdr:nvSpPr>
            <xdr:cNvPr id="5" name="Text Box 24"/>
            <xdr:cNvSpPr txBox="1">
              <a:spLocks noChangeArrowheads="1"/>
            </xdr:cNvSpPr>
          </xdr:nvSpPr>
          <xdr:spPr>
            <a:xfrm>
              <a:off x="16089" y="39659"/>
              <a:ext cx="6263" cy="10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Liliane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Ribeiro Guterres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Controladora Geral do Município</a:t>
              </a:r>
            </a:p>
          </xdr:txBody>
        </xdr:sp>
      </xdr:grpSp>
      <xdr:sp>
        <xdr:nvSpPr>
          <xdr:cNvPr id="6" name="Text Box 28"/>
          <xdr:cNvSpPr txBox="1">
            <a:spLocks noChangeArrowheads="1"/>
          </xdr:cNvSpPr>
        </xdr:nvSpPr>
        <xdr:spPr>
          <a:xfrm>
            <a:off x="599" y="2585"/>
            <a:ext cx="425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Jairo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Câmara de Carvalho Filho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Contador Geral do Município 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CRC-MA 2074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0</xdr:col>
      <xdr:colOff>790575</xdr:colOff>
      <xdr:row>4</xdr:row>
      <xdr:rowOff>171450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38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9525</xdr:rowOff>
    </xdr:from>
    <xdr:to>
      <xdr:col>14</xdr:col>
      <xdr:colOff>447675</xdr:colOff>
      <xdr:row>51</xdr:row>
      <xdr:rowOff>28575</xdr:rowOff>
    </xdr:to>
    <xdr:grpSp>
      <xdr:nvGrpSpPr>
        <xdr:cNvPr id="2" name="Group 21"/>
        <xdr:cNvGrpSpPr>
          <a:grpSpLocks/>
        </xdr:cNvGrpSpPr>
      </xdr:nvGrpSpPr>
      <xdr:grpSpPr>
        <a:xfrm>
          <a:off x="2276475" y="11820525"/>
          <a:ext cx="11258550" cy="971550"/>
          <a:chOff x="171" y="2582"/>
          <a:chExt cx="1960" cy="98"/>
        </a:xfrm>
        <a:solidFill>
          <a:srgbClr val="FFFFFF"/>
        </a:solidFill>
      </xdr:grpSpPr>
      <xdr:grpSp>
        <xdr:nvGrpSpPr>
          <xdr:cNvPr id="3" name="Group 22"/>
          <xdr:cNvGrpSpPr>
            <a:grpSpLocks/>
          </xdr:cNvGrpSpPr>
        </xdr:nvGrpSpPr>
        <xdr:grpSpPr>
          <a:xfrm>
            <a:off x="171" y="2582"/>
            <a:ext cx="1960" cy="74"/>
            <a:chOff x="2723" y="39543"/>
            <a:chExt cx="32024" cy="1125"/>
          </a:xfrm>
          <a:solidFill>
            <a:srgbClr val="FFFFFF"/>
          </a:solidFill>
        </xdr:grpSpPr>
        <xdr:sp fLocksText="0">
          <xdr:nvSpPr>
            <xdr:cNvPr id="4" name="Text Box 23"/>
            <xdr:cNvSpPr txBox="1">
              <a:spLocks noChangeArrowheads="1"/>
            </xdr:cNvSpPr>
          </xdr:nvSpPr>
          <xdr:spPr>
            <a:xfrm>
              <a:off x="2723" y="39543"/>
              <a:ext cx="9183" cy="11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José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de Jesus do Rosário Azzolini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Secretário Municipal da Fazenda</a:t>
              </a:r>
            </a:p>
          </xdr:txBody>
        </xdr:sp>
        <xdr:sp fLocksText="0">
          <xdr:nvSpPr>
            <xdr:cNvPr id="5" name="Text Box 24"/>
            <xdr:cNvSpPr txBox="1">
              <a:spLocks noChangeArrowheads="1"/>
            </xdr:cNvSpPr>
          </xdr:nvSpPr>
          <xdr:spPr>
            <a:xfrm>
              <a:off x="26509" y="39601"/>
              <a:ext cx="8238" cy="10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Liliane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Ribeiro Guterres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Controladora Geral do Município</a:t>
              </a:r>
            </a:p>
          </xdr:txBody>
        </xdr:sp>
      </xdr:grpSp>
      <xdr:sp>
        <xdr:nvSpPr>
          <xdr:cNvPr id="6" name="Text Box 28"/>
          <xdr:cNvSpPr txBox="1">
            <a:spLocks noChangeArrowheads="1"/>
          </xdr:cNvSpPr>
        </xdr:nvSpPr>
        <xdr:spPr>
          <a:xfrm>
            <a:off x="843" y="2595"/>
            <a:ext cx="615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Jairo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Câmara de Carvalho Filho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Contador Geral do Município 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CRC-MA 2074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0</xdr:col>
      <xdr:colOff>695325</xdr:colOff>
      <xdr:row>4</xdr:row>
      <xdr:rowOff>85725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1200150</xdr:colOff>
      <xdr:row>151</xdr:row>
      <xdr:rowOff>123825</xdr:rowOff>
    </xdr:from>
    <xdr:to>
      <xdr:col>9</xdr:col>
      <xdr:colOff>314325</xdr:colOff>
      <xdr:row>159</xdr:row>
      <xdr:rowOff>9525</xdr:rowOff>
    </xdr:to>
    <xdr:grpSp>
      <xdr:nvGrpSpPr>
        <xdr:cNvPr id="2" name="Group 21"/>
        <xdr:cNvGrpSpPr>
          <a:grpSpLocks/>
        </xdr:cNvGrpSpPr>
      </xdr:nvGrpSpPr>
      <xdr:grpSpPr>
        <a:xfrm>
          <a:off x="1200150" y="37328475"/>
          <a:ext cx="11277600" cy="1181100"/>
          <a:chOff x="208" y="2601"/>
          <a:chExt cx="1169" cy="117"/>
        </a:xfrm>
        <a:solidFill>
          <a:srgbClr val="FFFFFF"/>
        </a:solidFill>
      </xdr:grpSpPr>
      <xdr:grpSp>
        <xdr:nvGrpSpPr>
          <xdr:cNvPr id="3" name="Group 22"/>
          <xdr:cNvGrpSpPr>
            <a:grpSpLocks/>
          </xdr:cNvGrpSpPr>
        </xdr:nvGrpSpPr>
        <xdr:grpSpPr>
          <a:xfrm>
            <a:off x="208" y="2601"/>
            <a:ext cx="1169" cy="84"/>
            <a:chOff x="3345" y="40328"/>
            <a:chExt cx="19087" cy="1293"/>
          </a:xfrm>
          <a:solidFill>
            <a:srgbClr val="FFFFFF"/>
          </a:solidFill>
        </xdr:grpSpPr>
        <xdr:sp fLocksText="0">
          <xdr:nvSpPr>
            <xdr:cNvPr id="4" name="Text Box 23"/>
            <xdr:cNvSpPr txBox="1">
              <a:spLocks noChangeArrowheads="1"/>
            </xdr:cNvSpPr>
          </xdr:nvSpPr>
          <xdr:spPr>
            <a:xfrm>
              <a:off x="3345" y="40488"/>
              <a:ext cx="6757" cy="11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José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de Jesus do Rosário Azzolini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Secretário Municipal da Fazenda</a:t>
              </a:r>
            </a:p>
          </xdr:txBody>
        </xdr:sp>
        <xdr:sp fLocksText="0">
          <xdr:nvSpPr>
            <xdr:cNvPr id="5" name="Text Box 24"/>
            <xdr:cNvSpPr txBox="1">
              <a:spLocks noChangeArrowheads="1"/>
            </xdr:cNvSpPr>
          </xdr:nvSpPr>
          <xdr:spPr>
            <a:xfrm>
              <a:off x="16176" y="40328"/>
              <a:ext cx="6256" cy="10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Liliane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Ribeiro Guterres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Controladora Geral do Município</a:t>
              </a:r>
            </a:p>
          </xdr:txBody>
        </xdr:sp>
      </xdr:grpSp>
      <xdr:sp>
        <xdr:nvSpPr>
          <xdr:cNvPr id="6" name="Text Box 28"/>
          <xdr:cNvSpPr txBox="1">
            <a:spLocks noChangeArrowheads="1"/>
          </xdr:cNvSpPr>
        </xdr:nvSpPr>
        <xdr:spPr>
          <a:xfrm>
            <a:off x="601" y="2633"/>
            <a:ext cx="429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Jairo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Câmara de Carvalho Filho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Contador Geral do Município 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CRC-MA 2074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704850</xdr:colOff>
      <xdr:row>3</xdr:row>
      <xdr:rowOff>161925</xdr:rowOff>
    </xdr:to>
    <xdr:pic>
      <xdr:nvPicPr>
        <xdr:cNvPr id="1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119</xdr:row>
      <xdr:rowOff>0</xdr:rowOff>
    </xdr:from>
    <xdr:to>
      <xdr:col>5</xdr:col>
      <xdr:colOff>0</xdr:colOff>
      <xdr:row>119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47625" y="27822525"/>
          <a:ext cx="11963400" cy="0"/>
          <a:chOff x="81" y="21532"/>
          <a:chExt cx="15446" cy="716"/>
        </a:xfrm>
        <a:solidFill>
          <a:srgbClr val="FFFFFF"/>
        </a:solidFill>
      </xdr:grpSpPr>
      <xdr:sp fLocksText="0">
        <xdr:nvSpPr>
          <xdr:cNvPr id="3" name="Text Box 4"/>
          <xdr:cNvSpPr txBox="1">
            <a:spLocks noChangeArrowheads="1"/>
          </xdr:cNvSpPr>
        </xdr:nvSpPr>
        <xdr:spPr>
          <a:xfrm>
            <a:off x="81" y="27822525"/>
            <a:ext cx="46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81" y="27822525"/>
            <a:ext cx="490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6"/>
          <xdr:cNvSpPr txBox="1">
            <a:spLocks noChangeArrowheads="1"/>
          </xdr:cNvSpPr>
        </xdr:nvSpPr>
        <xdr:spPr>
          <a:xfrm>
            <a:off x="81" y="27822525"/>
            <a:ext cx="486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47625</xdr:colOff>
      <xdr:row>119</xdr:row>
      <xdr:rowOff>0</xdr:rowOff>
    </xdr:from>
    <xdr:to>
      <xdr:col>5</xdr:col>
      <xdr:colOff>0</xdr:colOff>
      <xdr:row>119</xdr:row>
      <xdr:rowOff>0</xdr:rowOff>
    </xdr:to>
    <xdr:grpSp>
      <xdr:nvGrpSpPr>
        <xdr:cNvPr id="6" name="Group 3"/>
        <xdr:cNvGrpSpPr>
          <a:grpSpLocks/>
        </xdr:cNvGrpSpPr>
      </xdr:nvGrpSpPr>
      <xdr:grpSpPr>
        <a:xfrm>
          <a:off x="47625" y="27822525"/>
          <a:ext cx="11963400" cy="0"/>
          <a:chOff x="81" y="21532"/>
          <a:chExt cx="15446" cy="716"/>
        </a:xfrm>
        <a:solidFill>
          <a:srgbClr val="FFFFFF"/>
        </a:solidFill>
      </xdr:grpSpPr>
      <xdr:sp fLocksText="0">
        <xdr:nvSpPr>
          <xdr:cNvPr id="7" name="Text Box 4"/>
          <xdr:cNvSpPr txBox="1">
            <a:spLocks noChangeArrowheads="1"/>
          </xdr:cNvSpPr>
        </xdr:nvSpPr>
        <xdr:spPr>
          <a:xfrm>
            <a:off x="81" y="27822525"/>
            <a:ext cx="457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8" name="Text Box 5"/>
          <xdr:cNvSpPr txBox="1">
            <a:spLocks noChangeArrowheads="1"/>
          </xdr:cNvSpPr>
        </xdr:nvSpPr>
        <xdr:spPr>
          <a:xfrm>
            <a:off x="1950345363" y="27822525"/>
            <a:ext cx="495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9" name="Text Box 6"/>
          <xdr:cNvSpPr txBox="1">
            <a:spLocks noChangeArrowheads="1"/>
          </xdr:cNvSpPr>
        </xdr:nvSpPr>
        <xdr:spPr>
          <a:xfrm>
            <a:off x="81" y="27822525"/>
            <a:ext cx="49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1790700</xdr:colOff>
      <xdr:row>120</xdr:row>
      <xdr:rowOff>66675</xdr:rowOff>
    </xdr:from>
    <xdr:to>
      <xdr:col>14</xdr:col>
      <xdr:colOff>1085850</xdr:colOff>
      <xdr:row>127</xdr:row>
      <xdr:rowOff>47625</xdr:rowOff>
    </xdr:to>
    <xdr:grpSp>
      <xdr:nvGrpSpPr>
        <xdr:cNvPr id="10" name="Group 21"/>
        <xdr:cNvGrpSpPr>
          <a:grpSpLocks/>
        </xdr:cNvGrpSpPr>
      </xdr:nvGrpSpPr>
      <xdr:grpSpPr>
        <a:xfrm>
          <a:off x="1790700" y="28079700"/>
          <a:ext cx="13058775" cy="1314450"/>
          <a:chOff x="371" y="2542"/>
          <a:chExt cx="762" cy="129"/>
        </a:xfrm>
        <a:solidFill>
          <a:srgbClr val="FFFFFF"/>
        </a:solidFill>
      </xdr:grpSpPr>
      <xdr:grpSp>
        <xdr:nvGrpSpPr>
          <xdr:cNvPr id="11" name="Group 22"/>
          <xdr:cNvGrpSpPr>
            <a:grpSpLocks/>
          </xdr:cNvGrpSpPr>
        </xdr:nvGrpSpPr>
        <xdr:grpSpPr>
          <a:xfrm>
            <a:off x="371" y="2542"/>
            <a:ext cx="762" cy="94"/>
            <a:chOff x="5878" y="39615"/>
            <a:chExt cx="12713" cy="1454"/>
          </a:xfrm>
          <a:solidFill>
            <a:srgbClr val="FFFFFF"/>
          </a:solidFill>
        </xdr:grpSpPr>
        <xdr:sp fLocksText="0">
          <xdr:nvSpPr>
            <xdr:cNvPr id="12" name="Text Box 23"/>
            <xdr:cNvSpPr txBox="1">
              <a:spLocks noChangeArrowheads="1"/>
            </xdr:cNvSpPr>
          </xdr:nvSpPr>
          <xdr:spPr>
            <a:xfrm>
              <a:off x="5878" y="39615"/>
              <a:ext cx="5072" cy="146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</a:t>
              </a: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de Jesus do Rosário Azzolini</a:t>
              </a: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13" name="Text Box 24"/>
            <xdr:cNvSpPr txBox="1">
              <a:spLocks noChangeArrowheads="1"/>
            </xdr:cNvSpPr>
          </xdr:nvSpPr>
          <xdr:spPr>
            <a:xfrm>
              <a:off x="13770" y="39687"/>
              <a:ext cx="4821" cy="104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Liliane Ribeiro Guterres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</a:t>
              </a:r>
            </a:p>
          </xdr:txBody>
        </xdr:sp>
      </xdr:grpSp>
      <xdr:sp>
        <xdr:nvSpPr>
          <xdr:cNvPr id="14" name="Text Box 28"/>
          <xdr:cNvSpPr txBox="1">
            <a:spLocks noChangeArrowheads="1"/>
          </xdr:cNvSpPr>
        </xdr:nvSpPr>
        <xdr:spPr>
          <a:xfrm>
            <a:off x="611" y="2585"/>
            <a:ext cx="324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Câmara de Carvalho Filho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 Geral do Município 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19</xdr:row>
      <xdr:rowOff>0</xdr:rowOff>
    </xdr:from>
    <xdr:to>
      <xdr:col>11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95300" y="4829175"/>
          <a:ext cx="14382750" cy="0"/>
          <a:chOff x="821" y="26691"/>
          <a:chExt cx="18538" cy="888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409813176" y="4829175"/>
            <a:ext cx="541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44461700" y="4829175"/>
            <a:ext cx="541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450604461" y="4829175"/>
            <a:ext cx="554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47625</xdr:rowOff>
    </xdr:from>
    <xdr:to>
      <xdr:col>0</xdr:col>
      <xdr:colOff>752475</xdr:colOff>
      <xdr:row>5</xdr:row>
      <xdr:rowOff>9525</xdr:rowOff>
    </xdr:to>
    <xdr:pic>
      <xdr:nvPicPr>
        <xdr:cNvPr id="5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95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2828925</xdr:colOff>
      <xdr:row>25</xdr:row>
      <xdr:rowOff>38100</xdr:rowOff>
    </xdr:from>
    <xdr:to>
      <xdr:col>11</xdr:col>
      <xdr:colOff>809625</xdr:colOff>
      <xdr:row>29</xdr:row>
      <xdr:rowOff>161925</xdr:rowOff>
    </xdr:to>
    <xdr:grpSp>
      <xdr:nvGrpSpPr>
        <xdr:cNvPr id="6" name="Group 21"/>
        <xdr:cNvGrpSpPr>
          <a:grpSpLocks/>
        </xdr:cNvGrpSpPr>
      </xdr:nvGrpSpPr>
      <xdr:grpSpPr>
        <a:xfrm>
          <a:off x="2828925" y="6057900"/>
          <a:ext cx="12858750" cy="847725"/>
          <a:chOff x="372" y="2640"/>
          <a:chExt cx="759" cy="97"/>
        </a:xfrm>
        <a:solidFill>
          <a:srgbClr val="FFFFFF"/>
        </a:solidFill>
      </xdr:grpSpPr>
      <xdr:grpSp>
        <xdr:nvGrpSpPr>
          <xdr:cNvPr id="7" name="Group 22"/>
          <xdr:cNvGrpSpPr>
            <a:grpSpLocks/>
          </xdr:cNvGrpSpPr>
        </xdr:nvGrpSpPr>
        <xdr:grpSpPr>
          <a:xfrm>
            <a:off x="372" y="2640"/>
            <a:ext cx="759" cy="94"/>
            <a:chOff x="5897" y="41086"/>
            <a:chExt cx="12663" cy="1453"/>
          </a:xfrm>
          <a:solidFill>
            <a:srgbClr val="FFFFFF"/>
          </a:solidFill>
        </xdr:grpSpPr>
        <xdr:sp fLocksText="0">
          <xdr:nvSpPr>
            <xdr:cNvPr id="8" name="Text Box 23"/>
            <xdr:cNvSpPr txBox="1">
              <a:spLocks noChangeArrowheads="1"/>
            </xdr:cNvSpPr>
          </xdr:nvSpPr>
          <xdr:spPr>
            <a:xfrm>
              <a:off x="5897" y="41086"/>
              <a:ext cx="5065" cy="14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de Jesus do Rosário Azzolini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24"/>
            <xdr:cNvSpPr txBox="1">
              <a:spLocks noChangeArrowheads="1"/>
            </xdr:cNvSpPr>
          </xdr:nvSpPr>
          <xdr:spPr>
            <a:xfrm>
              <a:off x="13748" y="41103"/>
              <a:ext cx="4812" cy="10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Liliane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Ribeiro Guterres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</a:t>
              </a:r>
            </a:p>
          </xdr:txBody>
        </xdr:sp>
      </xdr:grpSp>
      <xdr:sp>
        <xdr:nvSpPr>
          <xdr:cNvPr id="10" name="Text Box 28"/>
          <xdr:cNvSpPr txBox="1">
            <a:spLocks noChangeArrowheads="1"/>
          </xdr:cNvSpPr>
        </xdr:nvSpPr>
        <xdr:spPr>
          <a:xfrm>
            <a:off x="614" y="2651"/>
            <a:ext cx="321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Câmara de Carvalho Filho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 Geral do Município 
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 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57150</xdr:rowOff>
    </xdr:from>
    <xdr:to>
      <xdr:col>0</xdr:col>
      <xdr:colOff>819150</xdr:colOff>
      <xdr:row>4</xdr:row>
      <xdr:rowOff>180975</xdr:rowOff>
    </xdr:to>
    <xdr:pic>
      <xdr:nvPicPr>
        <xdr:cNvPr id="1" name="Figuras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571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4</xdr:col>
      <xdr:colOff>285750</xdr:colOff>
      <xdr:row>169</xdr:row>
      <xdr:rowOff>0</xdr:rowOff>
    </xdr:to>
    <xdr:grpSp>
      <xdr:nvGrpSpPr>
        <xdr:cNvPr id="2" name="Group 8"/>
        <xdr:cNvGrpSpPr>
          <a:grpSpLocks/>
        </xdr:cNvGrpSpPr>
      </xdr:nvGrpSpPr>
      <xdr:grpSpPr>
        <a:xfrm>
          <a:off x="7029450" y="37614225"/>
          <a:ext cx="4210050" cy="0"/>
          <a:chOff x="1359" y="50126"/>
          <a:chExt cx="12463" cy="722"/>
        </a:xfrm>
        <a:solidFill>
          <a:srgbClr val="FFFFFF"/>
        </a:solidFill>
      </xdr:grpSpPr>
      <xdr:sp fLocksText="0">
        <xdr:nvSpPr>
          <xdr:cNvPr id="3" name="Text Box 9"/>
          <xdr:cNvSpPr txBox="1">
            <a:spLocks noChangeArrowheads="1"/>
          </xdr:cNvSpPr>
        </xdr:nvSpPr>
        <xdr:spPr>
          <a:xfrm>
            <a:off x="1359" y="37614225"/>
            <a:ext cx="358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10"/>
          <xdr:cNvSpPr txBox="1">
            <a:spLocks noChangeArrowheads="1"/>
          </xdr:cNvSpPr>
        </xdr:nvSpPr>
        <xdr:spPr>
          <a:xfrm>
            <a:off x="1359" y="37614225"/>
            <a:ext cx="369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B. Mont’alverne Frota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1188553388" y="37614225"/>
            <a:ext cx="360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1</xdr:col>
      <xdr:colOff>0</xdr:colOff>
      <xdr:row>169</xdr:row>
      <xdr:rowOff>0</xdr:rowOff>
    </xdr:from>
    <xdr:to>
      <xdr:col>4</xdr:col>
      <xdr:colOff>285750</xdr:colOff>
      <xdr:row>169</xdr:row>
      <xdr:rowOff>0</xdr:rowOff>
    </xdr:to>
    <xdr:grpSp>
      <xdr:nvGrpSpPr>
        <xdr:cNvPr id="6" name="Group 8"/>
        <xdr:cNvGrpSpPr>
          <a:grpSpLocks/>
        </xdr:cNvGrpSpPr>
      </xdr:nvGrpSpPr>
      <xdr:grpSpPr>
        <a:xfrm>
          <a:off x="7029450" y="37614225"/>
          <a:ext cx="4210050" cy="0"/>
          <a:chOff x="1359" y="50126"/>
          <a:chExt cx="12463" cy="722"/>
        </a:xfrm>
        <a:solidFill>
          <a:srgbClr val="FFFFFF"/>
        </a:solidFill>
      </xdr:grpSpPr>
      <xdr:sp fLocksText="0">
        <xdr:nvSpPr>
          <xdr:cNvPr id="7" name="Text Box 9"/>
          <xdr:cNvSpPr txBox="1">
            <a:spLocks noChangeArrowheads="1"/>
          </xdr:cNvSpPr>
        </xdr:nvSpPr>
        <xdr:spPr>
          <a:xfrm>
            <a:off x="1247883013" y="37614225"/>
            <a:ext cx="360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8" name="Text Box 10"/>
          <xdr:cNvSpPr txBox="1">
            <a:spLocks noChangeArrowheads="1"/>
          </xdr:cNvSpPr>
        </xdr:nvSpPr>
        <xdr:spPr>
          <a:xfrm>
            <a:off x="887847031" y="37614225"/>
            <a:ext cx="366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B. Mont’alverne Frota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9" name="Text Box 11"/>
          <xdr:cNvSpPr txBox="1">
            <a:spLocks noChangeArrowheads="1"/>
          </xdr:cNvSpPr>
        </xdr:nvSpPr>
        <xdr:spPr>
          <a:xfrm>
            <a:off x="1359" y="37614225"/>
            <a:ext cx="360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1504950</xdr:colOff>
      <xdr:row>172</xdr:row>
      <xdr:rowOff>85725</xdr:rowOff>
    </xdr:from>
    <xdr:to>
      <xdr:col>8</xdr:col>
      <xdr:colOff>238125</xdr:colOff>
      <xdr:row>178</xdr:row>
      <xdr:rowOff>133350</xdr:rowOff>
    </xdr:to>
    <xdr:grpSp>
      <xdr:nvGrpSpPr>
        <xdr:cNvPr id="10" name="Group 21"/>
        <xdr:cNvGrpSpPr>
          <a:grpSpLocks/>
        </xdr:cNvGrpSpPr>
      </xdr:nvGrpSpPr>
      <xdr:grpSpPr>
        <a:xfrm>
          <a:off x="1504950" y="38271450"/>
          <a:ext cx="14049375" cy="1200150"/>
          <a:chOff x="-238" y="2611"/>
          <a:chExt cx="1501" cy="131"/>
        </a:xfrm>
        <a:solidFill>
          <a:srgbClr val="FFFFFF"/>
        </a:solidFill>
      </xdr:grpSpPr>
      <xdr:grpSp>
        <xdr:nvGrpSpPr>
          <xdr:cNvPr id="11" name="Group 22"/>
          <xdr:cNvGrpSpPr>
            <a:grpSpLocks/>
          </xdr:cNvGrpSpPr>
        </xdr:nvGrpSpPr>
        <xdr:grpSpPr>
          <a:xfrm>
            <a:off x="-238" y="2611"/>
            <a:ext cx="1501" cy="93"/>
            <a:chOff x="-4251" y="39345"/>
            <a:chExt cx="25021" cy="1392"/>
          </a:xfrm>
          <a:solidFill>
            <a:srgbClr val="FFFFFF"/>
          </a:solidFill>
        </xdr:grpSpPr>
        <xdr:sp fLocksText="0">
          <xdr:nvSpPr>
            <xdr:cNvPr id="12" name="Text Box 23"/>
            <xdr:cNvSpPr txBox="1">
              <a:spLocks noChangeArrowheads="1"/>
            </xdr:cNvSpPr>
          </xdr:nvSpPr>
          <xdr:spPr>
            <a:xfrm>
              <a:off x="-4251" y="39345"/>
              <a:ext cx="8332" cy="138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7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José</a:t>
              </a:r>
              <a:r>
                <a:rPr lang="en-US" cap="none" sz="17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de Jesus do Rosário Azzolini</a:t>
              </a:r>
              <a:r>
                <a:rPr lang="en-US" cap="none" sz="17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7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Secretário Municipal da Fazenda</a:t>
              </a:r>
            </a:p>
          </xdr:txBody>
        </xdr:sp>
        <xdr:sp fLocksText="0">
          <xdr:nvSpPr>
            <xdr:cNvPr id="13" name="Text Box 24"/>
            <xdr:cNvSpPr txBox="1">
              <a:spLocks noChangeArrowheads="1"/>
            </xdr:cNvSpPr>
          </xdr:nvSpPr>
          <xdr:spPr>
            <a:xfrm>
              <a:off x="13476" y="39361"/>
              <a:ext cx="7294" cy="12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7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Liliane Ribeiro Guterres
</a:t>
              </a:r>
              <a:r>
                <a:rPr lang="en-US" cap="none" sz="17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Controladora Geral do Município</a:t>
              </a:r>
            </a:p>
          </xdr:txBody>
        </xdr:sp>
      </xdr:grp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05" y="2648"/>
            <a:ext cx="462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Jairo</a:t>
            </a:r>
            <a:r>
              <a:rPr lang="en-US" cap="none" sz="17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Câmara de Carvalho Filho</a:t>
            </a:r>
            <a:r>
              <a:rPr lang="en-US" cap="none" sz="17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7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Contador Geral do Município 
</a:t>
            </a:r>
            <a:r>
              <a:rPr lang="en-US" cap="none" sz="17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CRC-MA 2074 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154</xdr:row>
      <xdr:rowOff>0</xdr:rowOff>
    </xdr:from>
    <xdr:to>
      <xdr:col>1</xdr:col>
      <xdr:colOff>180975</xdr:colOff>
      <xdr:row>154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92855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0</xdr:col>
      <xdr:colOff>590550</xdr:colOff>
      <xdr:row>5</xdr:row>
      <xdr:rowOff>0</xdr:rowOff>
    </xdr:to>
    <xdr:pic>
      <xdr:nvPicPr>
        <xdr:cNvPr id="2" name="Figuras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6675"/>
          <a:ext cx="447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154</xdr:row>
      <xdr:rowOff>0</xdr:rowOff>
    </xdr:from>
    <xdr:to>
      <xdr:col>1</xdr:col>
      <xdr:colOff>180975</xdr:colOff>
      <xdr:row>154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92855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</xdr:col>
      <xdr:colOff>171450</xdr:colOff>
      <xdr:row>4</xdr:row>
      <xdr:rowOff>152400</xdr:rowOff>
    </xdr:to>
    <xdr:pic>
      <xdr:nvPicPr>
        <xdr:cNvPr id="4" name="Figuras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7625"/>
          <a:ext cx="571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571500</xdr:colOff>
      <xdr:row>159</xdr:row>
      <xdr:rowOff>28575</xdr:rowOff>
    </xdr:from>
    <xdr:ext cx="2124075" cy="266700"/>
    <xdr:sp>
      <xdr:nvSpPr>
        <xdr:cNvPr id="5" name="CaixaDeTexto 5"/>
        <xdr:cNvSpPr txBox="1">
          <a:spLocks noChangeArrowheads="1"/>
        </xdr:cNvSpPr>
      </xdr:nvSpPr>
      <xdr:spPr>
        <a:xfrm>
          <a:off x="1162050" y="38862000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819150</xdr:colOff>
      <xdr:row>158</xdr:row>
      <xdr:rowOff>142875</xdr:rowOff>
    </xdr:from>
    <xdr:ext cx="2066925" cy="276225"/>
    <xdr:sp fLocksText="0">
      <xdr:nvSpPr>
        <xdr:cNvPr id="6" name="CaixaDeTexto 6"/>
        <xdr:cNvSpPr txBox="1">
          <a:spLocks noChangeArrowheads="1"/>
        </xdr:cNvSpPr>
      </xdr:nvSpPr>
      <xdr:spPr>
        <a:xfrm>
          <a:off x="5448300" y="38795325"/>
          <a:ext cx="2066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733425</xdr:colOff>
      <xdr:row>160</xdr:row>
      <xdr:rowOff>28575</xdr:rowOff>
    </xdr:from>
    <xdr:to>
      <xdr:col>10</xdr:col>
      <xdr:colOff>666750</xdr:colOff>
      <xdr:row>168</xdr:row>
      <xdr:rowOff>76200</xdr:rowOff>
    </xdr:to>
    <xdr:grpSp>
      <xdr:nvGrpSpPr>
        <xdr:cNvPr id="7" name="Group 21"/>
        <xdr:cNvGrpSpPr>
          <a:grpSpLocks/>
        </xdr:cNvGrpSpPr>
      </xdr:nvGrpSpPr>
      <xdr:grpSpPr>
        <a:xfrm>
          <a:off x="1323975" y="39052500"/>
          <a:ext cx="12849225" cy="1485900"/>
          <a:chOff x="274" y="2607"/>
          <a:chExt cx="937" cy="139"/>
        </a:xfrm>
        <a:solidFill>
          <a:srgbClr val="FFFFFF"/>
        </a:solidFill>
      </xdr:grpSpPr>
      <xdr:grpSp>
        <xdr:nvGrpSpPr>
          <xdr:cNvPr id="8" name="Group 22"/>
          <xdr:cNvGrpSpPr>
            <a:grpSpLocks/>
          </xdr:cNvGrpSpPr>
        </xdr:nvGrpSpPr>
        <xdr:grpSpPr>
          <a:xfrm>
            <a:off x="274" y="2607"/>
            <a:ext cx="937" cy="92"/>
            <a:chOff x="4297" y="38997"/>
            <a:chExt cx="15622" cy="1366"/>
          </a:xfrm>
          <a:solidFill>
            <a:srgbClr val="FFFFFF"/>
          </a:solidFill>
        </xdr:grpSpPr>
        <xdr:sp fLocksText="0">
          <xdr:nvSpPr>
            <xdr:cNvPr id="9" name="Text Box 23"/>
            <xdr:cNvSpPr txBox="1">
              <a:spLocks noChangeArrowheads="1"/>
            </xdr:cNvSpPr>
          </xdr:nvSpPr>
          <xdr:spPr>
            <a:xfrm>
              <a:off x="4297" y="38997"/>
              <a:ext cx="6182" cy="107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José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de Jesus do Rosário Azzolini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Secretário Municipal da Fazenda</a:t>
              </a:r>
            </a:p>
          </xdr:txBody>
        </xdr:sp>
        <xdr:sp fLocksText="0">
          <xdr:nvSpPr>
            <xdr:cNvPr id="10" name="Text Box 24"/>
            <xdr:cNvSpPr txBox="1">
              <a:spLocks noChangeArrowheads="1"/>
            </xdr:cNvSpPr>
          </xdr:nvSpPr>
          <xdr:spPr>
            <a:xfrm>
              <a:off x="14209" y="39090"/>
              <a:ext cx="5710" cy="12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Liliane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Ribeiro Guterres</a:t>
              </a:r>
              <a:r>
                <a:rPr lang="en-US" cap="none" sz="15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5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Controladora Geral do Município</a:t>
              </a:r>
            </a:p>
          </xdr:txBody>
        </xdr:sp>
      </xdr:grpSp>
      <xdr:sp>
        <xdr:nvSpPr>
          <xdr:cNvPr id="11" name="Text Box 28"/>
          <xdr:cNvSpPr txBox="1">
            <a:spLocks noChangeArrowheads="1"/>
          </xdr:cNvSpPr>
        </xdr:nvSpPr>
        <xdr:spPr>
          <a:xfrm>
            <a:off x="546" y="2652"/>
            <a:ext cx="424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Jairo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Câmara de Carvalho Filho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Contador Geral do Município 
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CRC-MA 2074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733425</xdr:colOff>
      <xdr:row>5</xdr:row>
      <xdr:rowOff>57150</xdr:rowOff>
    </xdr:to>
    <xdr:pic>
      <xdr:nvPicPr>
        <xdr:cNvPr id="1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39</xdr:row>
      <xdr:rowOff>0</xdr:rowOff>
    </xdr:from>
    <xdr:to>
      <xdr:col>5</xdr:col>
      <xdr:colOff>0</xdr:colOff>
      <xdr:row>39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47625" y="10182225"/>
          <a:ext cx="8658225" cy="0"/>
          <a:chOff x="81" y="21532"/>
          <a:chExt cx="15446" cy="716"/>
        </a:xfrm>
        <a:solidFill>
          <a:srgbClr val="FFFFFF"/>
        </a:solidFill>
      </xdr:grpSpPr>
      <xdr:sp fLocksText="0">
        <xdr:nvSpPr>
          <xdr:cNvPr id="3" name="Text Box 4"/>
          <xdr:cNvSpPr txBox="1">
            <a:spLocks noChangeArrowheads="1"/>
          </xdr:cNvSpPr>
        </xdr:nvSpPr>
        <xdr:spPr>
          <a:xfrm>
            <a:off x="81" y="10182225"/>
            <a:ext cx="448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1244872220" y="10182225"/>
            <a:ext cx="523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6"/>
          <xdr:cNvSpPr txBox="1">
            <a:spLocks noChangeArrowheads="1"/>
          </xdr:cNvSpPr>
        </xdr:nvSpPr>
        <xdr:spPr>
          <a:xfrm>
            <a:off x="1465033298" y="10182225"/>
            <a:ext cx="453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371475</xdr:colOff>
      <xdr:row>39</xdr:row>
      <xdr:rowOff>57150</xdr:rowOff>
    </xdr:from>
    <xdr:to>
      <xdr:col>11</xdr:col>
      <xdr:colOff>533400</xdr:colOff>
      <xdr:row>44</xdr:row>
      <xdr:rowOff>9525</xdr:rowOff>
    </xdr:to>
    <xdr:grpSp>
      <xdr:nvGrpSpPr>
        <xdr:cNvPr id="6" name="Group 21"/>
        <xdr:cNvGrpSpPr>
          <a:grpSpLocks/>
        </xdr:cNvGrpSpPr>
      </xdr:nvGrpSpPr>
      <xdr:grpSpPr>
        <a:xfrm>
          <a:off x="371475" y="10239375"/>
          <a:ext cx="13782675" cy="904875"/>
          <a:chOff x="274" y="2563"/>
          <a:chExt cx="937" cy="133"/>
        </a:xfrm>
        <a:solidFill>
          <a:srgbClr val="FFFFFF"/>
        </a:solidFill>
      </xdr:grpSpPr>
      <xdr:grpSp>
        <xdr:nvGrpSpPr>
          <xdr:cNvPr id="7" name="Group 22"/>
          <xdr:cNvGrpSpPr>
            <a:grpSpLocks/>
          </xdr:cNvGrpSpPr>
        </xdr:nvGrpSpPr>
        <xdr:grpSpPr>
          <a:xfrm>
            <a:off x="274" y="2563"/>
            <a:ext cx="937" cy="91"/>
            <a:chOff x="4295" y="40388"/>
            <a:chExt cx="15620" cy="1423"/>
          </a:xfrm>
          <a:solidFill>
            <a:srgbClr val="FFFFFF"/>
          </a:solidFill>
        </xdr:grpSpPr>
        <xdr:sp fLocksText="0">
          <xdr:nvSpPr>
            <xdr:cNvPr id="8" name="Text Box 23"/>
            <xdr:cNvSpPr txBox="1">
              <a:spLocks noChangeArrowheads="1"/>
            </xdr:cNvSpPr>
          </xdr:nvSpPr>
          <xdr:spPr>
            <a:xfrm>
              <a:off x="4295" y="40388"/>
              <a:ext cx="6174" cy="13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         José</a:t>
              </a: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de Jesus do Rosário Azzolini </a:t>
              </a: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24"/>
            <xdr:cNvSpPr txBox="1">
              <a:spLocks noChangeArrowheads="1"/>
            </xdr:cNvSpPr>
          </xdr:nvSpPr>
          <xdr:spPr>
            <a:xfrm>
              <a:off x="14171" y="40476"/>
              <a:ext cx="5744" cy="13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Liliane</a:t>
              </a: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Ribeiro Guterres</a:t>
              </a:r>
              <a:r>
                <a:rPr lang="en-US" cap="none" sz="13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</a:t>
              </a:r>
            </a:p>
          </xdr:txBody>
        </xdr:sp>
      </xdr:grpSp>
      <xdr:sp>
        <xdr:nvSpPr>
          <xdr:cNvPr id="10" name="Text Box 28"/>
          <xdr:cNvSpPr txBox="1">
            <a:spLocks noChangeArrowheads="1"/>
          </xdr:cNvSpPr>
        </xdr:nvSpPr>
        <xdr:spPr>
          <a:xfrm>
            <a:off x="546" y="2601"/>
            <a:ext cx="426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Jairo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Câmara de Carvalho Filho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Contador Geral do Município 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2074 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All%20Users\Disco%20Virtual%202005\LRF\2004\AnexosRRE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emi\Downloads\LRF%205&#186;%20BIMESTRE%20RREO%2020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emi\Downloads\LRF%204&#186;%20BIMESTRE%20RREO%2020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emi\Downloads\Nair%202010\LRF\LRF%204&#186;%20BIMESTRE%20RREO%202010%20-%20config%20assinaturas%20-%2013-10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SergioHC.CLEARPATH\Desktop\Disco%20Virtual%202005\LRF\2005\12_2005%20RRE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SergioHC.CLEARPATH\Desktop\Disco%20Virtual\LRF\2006\06_2006%20RRE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\2008\REEO%2002_2008%20RRE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%20-%203o%20bimest%202009\LRF\2008\REEO%2002_2008%20RRE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emi\Downloads\R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emi\Downloads\Users\lutero\Desktop\LRF%206&#186;%20BIMESTRE%20RREO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emi\Downloads\Users\Nair%20Goytacaz\Downloads\RREO%20E%20RGF%202012\LRF%205&#186;%20BIMESTRE%20RREO%202012_PP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emi\Downloads\RREO%20E%20RGF%202018\LRF%203&#186;%20BIMESTRE%20RRE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exo 1 _ BAL ORC"/>
      <sheetName val="Anexo 2 _ DP FUNC"/>
      <sheetName val="Anexo 3 _ RCL"/>
      <sheetName val="Anexo 4 _ PREVID "/>
      <sheetName val="Anexo 6 _ RES PRIM e NOM"/>
      <sheetName val="Anexo XII_PROJ AT REG GERAL HIP"/>
      <sheetName val="Anexo 7 _  RP"/>
      <sheetName val="Anexo 8 _ ENSINO"/>
      <sheetName val="Anexo 12 _ SAÚDE "/>
      <sheetName val="Anexo 13 _PPP"/>
      <sheetName val="Anexo 14 _ Simplificado"/>
    </sheetNames>
    <sheetDataSet>
      <sheetData sheetId="0">
        <row r="23">
          <cell r="G2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_ BAL ORC"/>
      <sheetName val="Anexo 2 _ DP FUNC"/>
      <sheetName val="Anexo 3 _ RCL"/>
      <sheetName val="Anexo 4 _ PREVID "/>
      <sheetName val="Anexo 6 _ RES PRIM e NOM"/>
      <sheetName val="Anexo XII_PROJ AT REG GERAL HIP"/>
      <sheetName val="Anexo 7 _  RP"/>
      <sheetName val="Anexo 8 _ ENSINO"/>
      <sheetName val="Anexo 12 _ SAÚDE"/>
      <sheetName val="Anexo 13 _PPP"/>
      <sheetName val="Anexo 14 _ Simplificad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"/>
      <sheetName val="Anexo III _ RCL"/>
      <sheetName val="Anexo V _ PREVID "/>
      <sheetName val="Anexo VI _ RES NOM"/>
      <sheetName val="Anexo VII _ RES PRIM"/>
      <sheetName val="Anexo IX _ RP"/>
      <sheetName val="Anexo X _ ENSINO"/>
      <sheetName val="Anexo XII_PROJ AT REG GERAL HIP"/>
      <sheetName val="Anexo XVII _ Simplificado"/>
    </sheetNames>
    <sheetDataSet>
      <sheetData sheetId="2">
        <row r="35">
          <cell r="A35" t="str">
            <v>FONTE: SECRETARIA MUNICIPAL DA FAZENDA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 _ RES PRIM"/>
      <sheetName val="Anexo X _ ENSINO"/>
      <sheetName val="Anexo I-BAL ORC."/>
      <sheetName val="Anexo II-DP FUNC"/>
      <sheetName val="Anexo III - RCL"/>
      <sheetName val="Anexo V - PREVID"/>
      <sheetName val="Anexo VI - RES NOM"/>
      <sheetName val="Anexo VII - RES PRIM"/>
      <sheetName val="Anexo IX - RP"/>
      <sheetName val="Anexo X - ENSINO"/>
      <sheetName val="Anexo XII-PROJ AT REG GERAL HIP"/>
      <sheetName val="Anexo XVII - Simplificad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 "/>
      <sheetName val="Anexo III _ RCL"/>
      <sheetName val="Anexo V _ PREVID "/>
      <sheetName val="Anexo VI _ RES NOM"/>
      <sheetName val="Anexo VII _ RES PRIM"/>
      <sheetName val="Anexo IX _ RP"/>
      <sheetName val="Anexo X _ ENSINO"/>
      <sheetName val="Anexo XII_PROJ AT REG GERAL HIP"/>
      <sheetName val="Anexo XVI SAÚDE"/>
      <sheetName val="Anexo XVII _ Simplificado"/>
    </sheetNames>
    <sheetDataSet>
      <sheetData sheetId="5">
        <row r="68">
          <cell r="A68" t="str">
            <v>FONTE: SECRETARIA MUNICIPAL DA FAZENDA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I _ OP CRED"/>
      <sheetName val="Anexo XIII _ RPPS"/>
      <sheetName val="Anexo XIV _ AL ATIVOS"/>
      <sheetName val="Anexo XVI _ SAÚDE "/>
      <sheetName val="Anexo XVII _PPP"/>
      <sheetName val="Anexo XVIII _ Simplificado"/>
    </sheetNames>
    <sheetDataSet>
      <sheetData sheetId="0">
        <row r="96">
          <cell r="A96" t="str">
            <v>FONTE: SECRETARIA MUNICIPAL DA FAZENDA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VIII _ Simplificado"/>
    </sheetNames>
    <sheetDataSet>
      <sheetData sheetId="4">
        <row r="44">
          <cell r="A44" t="str">
            <v>FONTE: SECRETARIA MUNICIPAL DA FAZENDA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exo 1 _ BAL ORC"/>
      <sheetName val="Anexo 2 _ DP FUNC"/>
      <sheetName val="Anexo 3 _ RCL"/>
      <sheetName val="Anexo 4 _ PREVID "/>
      <sheetName val="Anexo 5 _ RES NOM"/>
      <sheetName val="Anexo 6 _ RES PRIM"/>
      <sheetName val="Anexo XII_PROJ AT REG GERAL HIP"/>
      <sheetName val="Anexo 7 _  RP"/>
      <sheetName val="Anexo 8 _ ENSINO"/>
      <sheetName val="Anexo 12 _ SAÚDE "/>
      <sheetName val="Anexo 13 _PPP"/>
      <sheetName val="Anexo 14 _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X107"/>
  <sheetViews>
    <sheetView showGridLines="0" tabSelected="1" view="pageBreakPreview" zoomScaleSheetLayoutView="100" workbookViewId="0" topLeftCell="A58">
      <selection activeCell="A100" sqref="A100"/>
    </sheetView>
  </sheetViews>
  <sheetFormatPr defaultColWidth="6.140625" defaultRowHeight="15.75" customHeight="1"/>
  <cols>
    <col min="1" max="1" width="45.57421875" style="11" customWidth="1"/>
    <col min="2" max="2" width="20.421875" style="2" customWidth="1"/>
    <col min="3" max="3" width="20.7109375" style="2" bestFit="1" customWidth="1"/>
    <col min="4" max="4" width="19.57421875" style="2" customWidth="1"/>
    <col min="5" max="6" width="20.7109375" style="2" bestFit="1" customWidth="1"/>
    <col min="7" max="7" width="18.8515625" style="2" bestFit="1" customWidth="1"/>
    <col min="8" max="8" width="19.421875" style="2" customWidth="1"/>
    <col min="9" max="9" width="20.7109375" style="2" customWidth="1"/>
    <col min="10" max="10" width="19.140625" style="2" customWidth="1"/>
    <col min="11" max="11" width="19.8515625" style="2" customWidth="1"/>
    <col min="12" max="12" width="18.57421875" style="1" bestFit="1" customWidth="1"/>
    <col min="13" max="13" width="32.7109375" style="3" bestFit="1" customWidth="1"/>
    <col min="14" max="15" width="17.140625" style="3" customWidth="1"/>
    <col min="16" max="17" width="4.00390625" style="1" customWidth="1"/>
    <col min="18" max="18" width="12.00390625" style="1" customWidth="1"/>
    <col min="19" max="16384" width="6.140625" style="1" customWidth="1"/>
  </cols>
  <sheetData>
    <row r="1" spans="1:17" ht="15">
      <c r="A1" s="718" t="s">
        <v>319</v>
      </c>
      <c r="B1" s="717"/>
      <c r="C1" s="717"/>
      <c r="D1" s="717"/>
      <c r="E1" s="717"/>
      <c r="F1" s="717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2" ht="18.75" customHeight="1">
      <c r="A2" s="718" t="s">
        <v>320</v>
      </c>
      <c r="B2" s="718"/>
      <c r="C2" s="718"/>
      <c r="D2" s="718"/>
      <c r="E2" s="718"/>
      <c r="F2" s="719"/>
      <c r="G2" s="1428"/>
      <c r="H2" s="1428"/>
      <c r="I2" s="4"/>
      <c r="J2" s="7"/>
      <c r="K2" s="7"/>
      <c r="L2" s="5"/>
    </row>
    <row r="3" spans="1:12" ht="18.75" customHeight="1">
      <c r="A3" s="720" t="s">
        <v>438</v>
      </c>
      <c r="B3" s="720"/>
      <c r="C3" s="720"/>
      <c r="D3" s="720"/>
      <c r="E3" s="720"/>
      <c r="F3" s="719"/>
      <c r="G3" s="232"/>
      <c r="H3" s="232"/>
      <c r="I3" s="232"/>
      <c r="J3" s="232"/>
      <c r="K3" s="232"/>
      <c r="L3" s="5"/>
    </row>
    <row r="4" spans="1:12" ht="18.75" customHeight="1">
      <c r="A4" s="721" t="s">
        <v>321</v>
      </c>
      <c r="B4" s="721"/>
      <c r="C4" s="721"/>
      <c r="D4" s="721"/>
      <c r="E4" s="721"/>
      <c r="F4" s="722"/>
      <c r="G4" s="6"/>
      <c r="H4" s="71"/>
      <c r="I4" s="72"/>
      <c r="J4" s="72"/>
      <c r="K4" s="73"/>
      <c r="L4" s="5"/>
    </row>
    <row r="5" spans="1:12" ht="18.75" customHeight="1">
      <c r="A5" s="724" t="s">
        <v>742</v>
      </c>
      <c r="B5" s="723"/>
      <c r="C5" s="723"/>
      <c r="D5" s="723"/>
      <c r="E5" s="723"/>
      <c r="F5" s="723"/>
      <c r="G5" s="6"/>
      <c r="H5" s="69"/>
      <c r="I5" s="69"/>
      <c r="J5" s="7"/>
      <c r="K5" s="7"/>
      <c r="L5" s="5"/>
    </row>
    <row r="6" spans="1:12" ht="18.75" customHeight="1">
      <c r="A6" s="228"/>
      <c r="B6" s="228"/>
      <c r="C6" s="228"/>
      <c r="D6" s="228"/>
      <c r="E6" s="228"/>
      <c r="F6" s="228"/>
      <c r="G6" s="6"/>
      <c r="H6" s="69"/>
      <c r="I6" s="69"/>
      <c r="J6" s="7"/>
      <c r="K6" s="7"/>
      <c r="L6" s="5"/>
    </row>
    <row r="7" spans="1:12" ht="18.75" customHeight="1">
      <c r="A7" s="235" t="s">
        <v>316</v>
      </c>
      <c r="B7" s="229"/>
      <c r="C7" s="229"/>
      <c r="D7" s="229"/>
      <c r="E7" s="229"/>
      <c r="F7" s="229"/>
      <c r="G7" s="6"/>
      <c r="H7" s="60"/>
      <c r="I7" s="8"/>
      <c r="J7" s="9"/>
      <c r="K7" s="10"/>
      <c r="L7" s="56"/>
    </row>
    <row r="8" spans="1:12" ht="15">
      <c r="A8" s="1395" t="s">
        <v>2</v>
      </c>
      <c r="B8" s="1383" t="s">
        <v>3</v>
      </c>
      <c r="C8" s="1383" t="s">
        <v>310</v>
      </c>
      <c r="D8" s="1385" t="s">
        <v>4</v>
      </c>
      <c r="E8" s="1386"/>
      <c r="F8" s="1386"/>
      <c r="G8" s="1386"/>
      <c r="H8" s="1386"/>
      <c r="I8" s="1386"/>
      <c r="J8" s="1387"/>
      <c r="K8" s="1381" t="s">
        <v>365</v>
      </c>
      <c r="L8" s="5"/>
    </row>
    <row r="9" spans="1:12" ht="30">
      <c r="A9" s="1396"/>
      <c r="B9" s="1384"/>
      <c r="C9" s="1384"/>
      <c r="D9" s="1388" t="s">
        <v>312</v>
      </c>
      <c r="E9" s="1388"/>
      <c r="F9" s="161" t="s">
        <v>313</v>
      </c>
      <c r="G9" s="1419" t="s">
        <v>314</v>
      </c>
      <c r="H9" s="1419"/>
      <c r="I9" s="1419"/>
      <c r="J9" s="162" t="s">
        <v>315</v>
      </c>
      <c r="K9" s="1382"/>
      <c r="L9" s="5"/>
    </row>
    <row r="10" spans="1:15" s="128" customFormat="1" ht="24" customHeight="1">
      <c r="A10" s="1208" t="s">
        <v>739</v>
      </c>
      <c r="B10" s="163">
        <f>B11+B36</f>
        <v>3415683724.36</v>
      </c>
      <c r="C10" s="164">
        <f>C11+C36</f>
        <v>3415683724.36</v>
      </c>
      <c r="D10" s="1424">
        <f>D11+D36</f>
        <v>568579804.15</v>
      </c>
      <c r="E10" s="1425"/>
      <c r="F10" s="165">
        <f>D10/C10*100</f>
        <v>16.646149059264417</v>
      </c>
      <c r="G10" s="1426">
        <f>G11+G36</f>
        <v>568579804.15</v>
      </c>
      <c r="H10" s="1426"/>
      <c r="I10" s="1426"/>
      <c r="J10" s="166">
        <f>G10/C10*100</f>
        <v>16.646149059264417</v>
      </c>
      <c r="K10" s="940">
        <f>K11+K36</f>
        <v>2847103920.2099996</v>
      </c>
      <c r="L10" s="167"/>
      <c r="M10" s="168"/>
      <c r="N10" s="169"/>
      <c r="O10" s="169"/>
    </row>
    <row r="11" spans="1:15" s="119" customFormat="1" ht="18.75" customHeight="1">
      <c r="A11" s="822" t="s">
        <v>6</v>
      </c>
      <c r="B11" s="170">
        <f>B12+B15+B18+B22+B25+B30</f>
        <v>3252135280.1400003</v>
      </c>
      <c r="C11" s="170">
        <f>C12+C15+C18+C22+C25+C30</f>
        <v>3252135280.1400003</v>
      </c>
      <c r="D11" s="1404">
        <f>D12+D15+D18+D22+D25+D30</f>
        <v>562999499.15</v>
      </c>
      <c r="E11" s="1404">
        <f>E12+E15+E18+E22+E25+E30</f>
        <v>0</v>
      </c>
      <c r="F11" s="171">
        <f>D11/C11*100</f>
        <v>17.311687573026287</v>
      </c>
      <c r="G11" s="1404">
        <f>G12+G15+G18+G22+G25+G30</f>
        <v>562999499.15</v>
      </c>
      <c r="H11" s="1404"/>
      <c r="I11" s="1404"/>
      <c r="J11" s="170">
        <f>G11/C11*100</f>
        <v>17.311687573026287</v>
      </c>
      <c r="K11" s="942">
        <f>K12+K15+K18+K22+K25+K30</f>
        <v>2689135780.99</v>
      </c>
      <c r="L11" s="172"/>
      <c r="M11" s="100"/>
      <c r="N11" s="100"/>
      <c r="O11" s="100"/>
    </row>
    <row r="12" spans="1:15" s="119" customFormat="1" ht="18.75" customHeight="1">
      <c r="A12" s="1209" t="s">
        <v>441</v>
      </c>
      <c r="B12" s="173">
        <f>B13+B14</f>
        <v>853440801</v>
      </c>
      <c r="C12" s="170">
        <f>C13+C14</f>
        <v>853440801</v>
      </c>
      <c r="D12" s="1415">
        <f>D13+D14</f>
        <v>130841260.17</v>
      </c>
      <c r="E12" s="1415"/>
      <c r="F12" s="171">
        <f>D12/C12*100</f>
        <v>15.33102940668992</v>
      </c>
      <c r="G12" s="1394">
        <f>G13+G14</f>
        <v>130841260.17</v>
      </c>
      <c r="H12" s="1394"/>
      <c r="I12" s="1394"/>
      <c r="J12" s="170">
        <f>G12/C12*100</f>
        <v>15.33102940668992</v>
      </c>
      <c r="K12" s="941">
        <f>K13+K14</f>
        <v>722599540.83</v>
      </c>
      <c r="L12" s="174"/>
      <c r="M12" s="100"/>
      <c r="N12" s="100"/>
      <c r="O12" s="100"/>
    </row>
    <row r="13" spans="1:15" s="101" customFormat="1" ht="18.75" customHeight="1">
      <c r="A13" s="824" t="s">
        <v>7</v>
      </c>
      <c r="B13" s="175">
        <v>829342944.01</v>
      </c>
      <c r="C13" s="175">
        <f>B13</f>
        <v>829342944.01</v>
      </c>
      <c r="D13" s="1392">
        <f>G13</f>
        <v>125167654.67</v>
      </c>
      <c r="E13" s="1393"/>
      <c r="F13" s="176">
        <f>D13/C13*100</f>
        <v>15.092387964958773</v>
      </c>
      <c r="G13" s="1398">
        <f>125168997.83-1343.16</f>
        <v>125167654.67</v>
      </c>
      <c r="H13" s="1398"/>
      <c r="I13" s="1398"/>
      <c r="J13" s="175">
        <f>G13/C13*100</f>
        <v>15.092387964958773</v>
      </c>
      <c r="K13" s="948">
        <f>C13-G13</f>
        <v>704175289.34</v>
      </c>
      <c r="L13" s="177"/>
      <c r="M13" s="115"/>
      <c r="N13" s="96"/>
      <c r="O13" s="96"/>
    </row>
    <row r="14" spans="1:15" s="101" customFormat="1" ht="18.75" customHeight="1">
      <c r="A14" s="824" t="s">
        <v>8</v>
      </c>
      <c r="B14" s="175">
        <v>24097856.99</v>
      </c>
      <c r="C14" s="178">
        <f>B14</f>
        <v>24097856.99</v>
      </c>
      <c r="D14" s="1392">
        <f>G14</f>
        <v>5673605.5</v>
      </c>
      <c r="E14" s="1393"/>
      <c r="F14" s="176">
        <f>D14/C14*100</f>
        <v>23.544025107105593</v>
      </c>
      <c r="G14" s="1398">
        <f>5673605.5</f>
        <v>5673605.5</v>
      </c>
      <c r="H14" s="1398"/>
      <c r="I14" s="1398"/>
      <c r="J14" s="175">
        <f>G14/C14*100</f>
        <v>23.544025107105593</v>
      </c>
      <c r="K14" s="827">
        <f>C14-G14</f>
        <v>18424251.49</v>
      </c>
      <c r="L14" s="179"/>
      <c r="M14" s="96"/>
      <c r="N14" s="96"/>
      <c r="O14" s="96"/>
    </row>
    <row r="15" spans="1:15" s="119" customFormat="1" ht="18.75" customHeight="1">
      <c r="A15" s="823" t="s">
        <v>366</v>
      </c>
      <c r="B15" s="170">
        <f>B16+B17</f>
        <v>165887575</v>
      </c>
      <c r="C15" s="170">
        <f>C16+C17</f>
        <v>165887575</v>
      </c>
      <c r="D15" s="1422">
        <f>D16+D17</f>
        <v>23230498.96</v>
      </c>
      <c r="E15" s="1421"/>
      <c r="F15" s="171">
        <f aca="true" t="shared" si="0" ref="F15:F20">D15/C15*100</f>
        <v>14.003760655371567</v>
      </c>
      <c r="G15" s="1394">
        <f>G16+G17</f>
        <v>23230498.96</v>
      </c>
      <c r="H15" s="1394"/>
      <c r="I15" s="1394"/>
      <c r="J15" s="170">
        <f aca="true" t="shared" si="1" ref="J15:J20">G15/C15*100</f>
        <v>14.003760655371567</v>
      </c>
      <c r="K15" s="826">
        <f>K16+K17</f>
        <v>142657076.04</v>
      </c>
      <c r="L15" s="181"/>
      <c r="M15" s="100"/>
      <c r="N15" s="100"/>
      <c r="O15" s="100"/>
    </row>
    <row r="16" spans="1:15" s="101" customFormat="1" ht="18.75" customHeight="1">
      <c r="A16" s="824" t="s">
        <v>10</v>
      </c>
      <c r="B16" s="175">
        <v>86574944</v>
      </c>
      <c r="C16" s="175">
        <f>B16</f>
        <v>86574944</v>
      </c>
      <c r="D16" s="1392">
        <f>G16</f>
        <v>10746075.28</v>
      </c>
      <c r="E16" s="1393"/>
      <c r="F16" s="176">
        <f t="shared" si="0"/>
        <v>12.41245420846013</v>
      </c>
      <c r="G16" s="1398">
        <v>10746075.28</v>
      </c>
      <c r="H16" s="1398"/>
      <c r="I16" s="1398"/>
      <c r="J16" s="175">
        <f t="shared" si="1"/>
        <v>12.41245420846013</v>
      </c>
      <c r="K16" s="827">
        <f>C16-G16</f>
        <v>75828868.72</v>
      </c>
      <c r="L16" s="179"/>
      <c r="M16" s="96"/>
      <c r="N16" s="96"/>
      <c r="O16" s="96"/>
    </row>
    <row r="17" spans="1:15" s="101" customFormat="1" ht="18.75" customHeight="1">
      <c r="A17" s="824" t="s">
        <v>738</v>
      </c>
      <c r="B17" s="175">
        <v>79312631</v>
      </c>
      <c r="C17" s="175">
        <f>B17</f>
        <v>79312631</v>
      </c>
      <c r="D17" s="1392">
        <f>G17</f>
        <v>12484423.68</v>
      </c>
      <c r="E17" s="1393"/>
      <c r="F17" s="176">
        <f t="shared" si="0"/>
        <v>15.740776119253944</v>
      </c>
      <c r="G17" s="1398">
        <v>12484423.68</v>
      </c>
      <c r="H17" s="1398"/>
      <c r="I17" s="1398"/>
      <c r="J17" s="175">
        <f t="shared" si="1"/>
        <v>15.740776119253944</v>
      </c>
      <c r="K17" s="827">
        <f>C17-G17</f>
        <v>66828207.32</v>
      </c>
      <c r="L17" s="179"/>
      <c r="M17" s="96"/>
      <c r="N17" s="96"/>
      <c r="O17" s="96"/>
    </row>
    <row r="18" spans="1:15" s="119" customFormat="1" ht="18.75" customHeight="1">
      <c r="A18" s="823" t="s">
        <v>11</v>
      </c>
      <c r="B18" s="170">
        <f>B19+B20+B21</f>
        <v>47927261</v>
      </c>
      <c r="C18" s="170">
        <f>C19+C20+C21</f>
        <v>47927261</v>
      </c>
      <c r="D18" s="1401">
        <f>SUM(D19:D21)</f>
        <v>956834.2</v>
      </c>
      <c r="E18" s="1402"/>
      <c r="F18" s="171">
        <f t="shared" si="0"/>
        <v>1.9964299649838115</v>
      </c>
      <c r="G18" s="1394">
        <f>SUM(G19:G21)</f>
        <v>956834.2</v>
      </c>
      <c r="H18" s="1394"/>
      <c r="I18" s="1394"/>
      <c r="J18" s="170">
        <f t="shared" si="1"/>
        <v>1.9964299649838115</v>
      </c>
      <c r="K18" s="826">
        <f>SUM(K19:K21)</f>
        <v>46970426.8</v>
      </c>
      <c r="L18" s="181"/>
      <c r="M18" s="100"/>
      <c r="N18" s="100"/>
      <c r="O18" s="100"/>
    </row>
    <row r="19" spans="1:15" s="101" customFormat="1" ht="18.75" customHeight="1">
      <c r="A19" s="824" t="s">
        <v>488</v>
      </c>
      <c r="B19" s="175">
        <v>870633</v>
      </c>
      <c r="C19" s="175">
        <f>B19</f>
        <v>870633</v>
      </c>
      <c r="D19" s="1392">
        <f>G19</f>
        <v>54673.35</v>
      </c>
      <c r="E19" s="1393"/>
      <c r="F19" s="176">
        <f t="shared" si="0"/>
        <v>6.2797240628370385</v>
      </c>
      <c r="G19" s="1398">
        <v>54673.35</v>
      </c>
      <c r="H19" s="1398"/>
      <c r="I19" s="1398"/>
      <c r="J19" s="175">
        <f t="shared" si="1"/>
        <v>6.2797240628370385</v>
      </c>
      <c r="K19" s="827">
        <f>C19-G19</f>
        <v>815959.65</v>
      </c>
      <c r="L19" s="179"/>
      <c r="M19" s="96"/>
      <c r="N19" s="96"/>
      <c r="O19" s="96"/>
    </row>
    <row r="20" spans="1:15" s="101" customFormat="1" ht="18.75" customHeight="1">
      <c r="A20" s="824" t="s">
        <v>489</v>
      </c>
      <c r="B20" s="175">
        <v>47031681</v>
      </c>
      <c r="C20" s="175">
        <f>B20</f>
        <v>47031681</v>
      </c>
      <c r="D20" s="1392">
        <f>G20</f>
        <v>902160.85</v>
      </c>
      <c r="E20" s="1393"/>
      <c r="F20" s="176">
        <f t="shared" si="0"/>
        <v>1.9181981821997813</v>
      </c>
      <c r="G20" s="1398">
        <v>902160.85</v>
      </c>
      <c r="H20" s="1398"/>
      <c r="I20" s="1398"/>
      <c r="J20" s="175">
        <f t="shared" si="1"/>
        <v>1.9181981821997813</v>
      </c>
      <c r="K20" s="827">
        <f>C20-G20</f>
        <v>46129520.15</v>
      </c>
      <c r="L20" s="177"/>
      <c r="M20" s="96"/>
      <c r="N20" s="96"/>
      <c r="O20" s="96"/>
    </row>
    <row r="21" spans="1:15" s="101" customFormat="1" ht="18.75" customHeight="1">
      <c r="A21" s="824" t="s">
        <v>367</v>
      </c>
      <c r="B21" s="180">
        <v>24947</v>
      </c>
      <c r="C21" s="175">
        <f>B21</f>
        <v>24947</v>
      </c>
      <c r="D21" s="1392">
        <f>G21</f>
        <v>0</v>
      </c>
      <c r="E21" s="1393"/>
      <c r="F21" s="176">
        <f aca="true" t="shared" si="2" ref="F21:F31">D21/C21*100</f>
        <v>0</v>
      </c>
      <c r="G21" s="1398">
        <v>0</v>
      </c>
      <c r="H21" s="1398"/>
      <c r="I21" s="1398"/>
      <c r="J21" s="175">
        <f aca="true" t="shared" si="3" ref="J21:J31">G21/C21*100</f>
        <v>0</v>
      </c>
      <c r="K21" s="827">
        <f aca="true" t="shared" si="4" ref="K21:K31">C21-G21</f>
        <v>24947</v>
      </c>
      <c r="L21" s="182"/>
      <c r="M21" s="96"/>
      <c r="N21" s="96"/>
      <c r="O21" s="96"/>
    </row>
    <row r="22" spans="1:15" s="119" customFormat="1" ht="18.75" customHeight="1">
      <c r="A22" s="823" t="s">
        <v>15</v>
      </c>
      <c r="B22" s="170">
        <f>B23+B24</f>
        <v>75330</v>
      </c>
      <c r="C22" s="170">
        <f>C23+C24</f>
        <v>75330</v>
      </c>
      <c r="D22" s="1415">
        <f>D23+D24</f>
        <v>0</v>
      </c>
      <c r="E22" s="1415"/>
      <c r="F22" s="171">
        <f t="shared" si="2"/>
        <v>0</v>
      </c>
      <c r="G22" s="1394">
        <f>G23+G24</f>
        <v>0</v>
      </c>
      <c r="H22" s="1394"/>
      <c r="I22" s="1394"/>
      <c r="J22" s="170">
        <f t="shared" si="3"/>
        <v>0</v>
      </c>
      <c r="K22" s="826">
        <f>K23+K24</f>
        <v>75330</v>
      </c>
      <c r="L22" s="181"/>
      <c r="M22" s="100"/>
      <c r="N22" s="100"/>
      <c r="O22" s="100"/>
    </row>
    <row r="23" spans="1:15" s="101" customFormat="1" ht="18.75" customHeight="1">
      <c r="A23" s="906" t="s">
        <v>532</v>
      </c>
      <c r="B23" s="175"/>
      <c r="C23" s="175"/>
      <c r="D23" s="1392">
        <f>G23-'[10]Anexo 1 _ BAL ORC'!G23</f>
        <v>0</v>
      </c>
      <c r="E23" s="1393"/>
      <c r="F23" s="176"/>
      <c r="G23" s="1398">
        <v>0</v>
      </c>
      <c r="H23" s="1398"/>
      <c r="I23" s="1398"/>
      <c r="J23" s="170"/>
      <c r="K23" s="827">
        <f t="shared" si="4"/>
        <v>0</v>
      </c>
      <c r="L23" s="179"/>
      <c r="M23" s="96"/>
      <c r="N23" s="96"/>
      <c r="O23" s="96"/>
    </row>
    <row r="24" spans="1:15" s="101" customFormat="1" ht="18.75" customHeight="1">
      <c r="A24" s="824" t="s">
        <v>484</v>
      </c>
      <c r="B24" s="175">
        <v>75330</v>
      </c>
      <c r="C24" s="175">
        <f>B24</f>
        <v>75330</v>
      </c>
      <c r="D24" s="1392">
        <f>G24</f>
        <v>0</v>
      </c>
      <c r="E24" s="1393"/>
      <c r="F24" s="176">
        <f t="shared" si="2"/>
        <v>0</v>
      </c>
      <c r="G24" s="1398">
        <v>0</v>
      </c>
      <c r="H24" s="1398"/>
      <c r="I24" s="1398"/>
      <c r="J24" s="175">
        <f t="shared" si="3"/>
        <v>0</v>
      </c>
      <c r="K24" s="827">
        <f t="shared" si="4"/>
        <v>75330</v>
      </c>
      <c r="L24" s="179"/>
      <c r="M24" s="96"/>
      <c r="N24" s="96"/>
      <c r="O24" s="96"/>
    </row>
    <row r="25" spans="1:15" s="119" customFormat="1" ht="18.75" customHeight="1">
      <c r="A25" s="823" t="s">
        <v>17</v>
      </c>
      <c r="B25" s="170">
        <f>B26+B27+B28+B29</f>
        <v>1967772245.14</v>
      </c>
      <c r="C25" s="170">
        <f>C26+C27+C28+C29</f>
        <v>1967772245.14</v>
      </c>
      <c r="D25" s="1415">
        <f>D26+D27+D28+D29</f>
        <v>403258269.72999996</v>
      </c>
      <c r="E25" s="1415"/>
      <c r="F25" s="171">
        <f t="shared" si="2"/>
        <v>20.493137390567757</v>
      </c>
      <c r="G25" s="1394">
        <f>SUM(G26:G29)</f>
        <v>403258269.72999996</v>
      </c>
      <c r="H25" s="1394"/>
      <c r="I25" s="1394"/>
      <c r="J25" s="170">
        <f t="shared" si="3"/>
        <v>20.493137390567757</v>
      </c>
      <c r="K25" s="941">
        <f>SUM(K26:K29)</f>
        <v>1564513975.41</v>
      </c>
      <c r="L25" s="183"/>
      <c r="M25" s="184"/>
      <c r="N25" s="100"/>
      <c r="O25" s="100"/>
    </row>
    <row r="26" spans="1:15" s="101" customFormat="1" ht="18.75" customHeight="1">
      <c r="A26" s="824" t="s">
        <v>490</v>
      </c>
      <c r="B26" s="175">
        <f>1106599077.14-101453489</f>
        <v>1005145588.1400001</v>
      </c>
      <c r="C26" s="175">
        <f>B26</f>
        <v>1005145588.1400001</v>
      </c>
      <c r="D26" s="1392">
        <f>G26</f>
        <v>183301472.57</v>
      </c>
      <c r="E26" s="1393"/>
      <c r="F26" s="176">
        <f t="shared" si="2"/>
        <v>18.236310712878456</v>
      </c>
      <c r="G26" s="1398">
        <f>209919943.57-26618471</f>
        <v>183301472.57</v>
      </c>
      <c r="H26" s="1398"/>
      <c r="I26" s="1398"/>
      <c r="J26" s="175">
        <f t="shared" si="3"/>
        <v>18.236310712878456</v>
      </c>
      <c r="K26" s="948">
        <f t="shared" si="4"/>
        <v>821844115.5700002</v>
      </c>
      <c r="L26" s="185"/>
      <c r="M26" s="176"/>
      <c r="N26" s="96"/>
      <c r="O26" s="96"/>
    </row>
    <row r="27" spans="1:15" s="101" customFormat="1" ht="18.75" customHeight="1">
      <c r="A27" s="1210" t="s">
        <v>493</v>
      </c>
      <c r="B27" s="983">
        <f>729171075-144183648</f>
        <v>584987427</v>
      </c>
      <c r="C27" s="175">
        <f>B27</f>
        <v>584987427</v>
      </c>
      <c r="D27" s="1392">
        <f>G27</f>
        <v>114545322.47</v>
      </c>
      <c r="E27" s="1393"/>
      <c r="F27" s="176">
        <f t="shared" si="2"/>
        <v>19.580817840380696</v>
      </c>
      <c r="G27" s="1398">
        <f>143043727.6-28498405.13</f>
        <v>114545322.47</v>
      </c>
      <c r="H27" s="1398"/>
      <c r="I27" s="1398"/>
      <c r="J27" s="175">
        <f t="shared" si="3"/>
        <v>19.580817840380696</v>
      </c>
      <c r="K27" s="948">
        <f t="shared" si="4"/>
        <v>470442104.53</v>
      </c>
      <c r="L27" s="185"/>
      <c r="M27" s="186"/>
      <c r="N27" s="96"/>
      <c r="O27" s="96"/>
    </row>
    <row r="28" spans="1:15" s="101" customFormat="1" ht="18.75" customHeight="1">
      <c r="A28" s="824" t="s">
        <v>492</v>
      </c>
      <c r="B28" s="175">
        <v>533377</v>
      </c>
      <c r="C28" s="175">
        <f>B28</f>
        <v>533377</v>
      </c>
      <c r="D28" s="1392">
        <f>G28</f>
        <v>0</v>
      </c>
      <c r="E28" s="1393"/>
      <c r="F28" s="176">
        <f t="shared" si="2"/>
        <v>0</v>
      </c>
      <c r="G28" s="1398">
        <v>0</v>
      </c>
      <c r="H28" s="1398"/>
      <c r="I28" s="1398"/>
      <c r="J28" s="175">
        <f t="shared" si="3"/>
        <v>0</v>
      </c>
      <c r="K28" s="827">
        <f t="shared" si="4"/>
        <v>533377</v>
      </c>
      <c r="L28" s="185"/>
      <c r="M28" s="186"/>
      <c r="N28" s="96"/>
      <c r="O28" s="96"/>
    </row>
    <row r="29" spans="1:15" s="101" customFormat="1" ht="18.75" customHeight="1">
      <c r="A29" s="824" t="s">
        <v>491</v>
      </c>
      <c r="B29" s="175">
        <v>377105853</v>
      </c>
      <c r="C29" s="175">
        <f>B29</f>
        <v>377105853</v>
      </c>
      <c r="D29" s="1392">
        <f>G29</f>
        <v>105411474.69</v>
      </c>
      <c r="E29" s="1393"/>
      <c r="F29" s="176">
        <f t="shared" si="2"/>
        <v>27.952754870129265</v>
      </c>
      <c r="G29" s="1398">
        <v>105411474.69</v>
      </c>
      <c r="H29" s="1398"/>
      <c r="I29" s="1398"/>
      <c r="J29" s="175">
        <f t="shared" si="3"/>
        <v>27.952754870129265</v>
      </c>
      <c r="K29" s="827">
        <f t="shared" si="4"/>
        <v>271694378.31</v>
      </c>
      <c r="L29" s="185"/>
      <c r="M29" s="186"/>
      <c r="N29" s="96"/>
      <c r="O29" s="96"/>
    </row>
    <row r="30" spans="1:15" s="119" customFormat="1" ht="18.75" customHeight="1">
      <c r="A30" s="823" t="s">
        <v>18</v>
      </c>
      <c r="B30" s="170">
        <f>B31+B32</f>
        <v>217032068</v>
      </c>
      <c r="C30" s="170">
        <f>C31+C32</f>
        <v>217032068</v>
      </c>
      <c r="D30" s="1420">
        <f>D31+D32</f>
        <v>4712636.09</v>
      </c>
      <c r="E30" s="1421"/>
      <c r="F30" s="171">
        <f>D30/C30*100</f>
        <v>2.1714008134502962</v>
      </c>
      <c r="G30" s="1394">
        <f>G31+G32</f>
        <v>4712636.09</v>
      </c>
      <c r="H30" s="1394"/>
      <c r="I30" s="1394"/>
      <c r="J30" s="170">
        <f t="shared" si="3"/>
        <v>2.1714008134502962</v>
      </c>
      <c r="K30" s="826">
        <f>K31+K32</f>
        <v>212319431.91</v>
      </c>
      <c r="L30" s="187"/>
      <c r="M30" s="70"/>
      <c r="N30" s="188"/>
      <c r="O30" s="188"/>
    </row>
    <row r="31" spans="1:15" s="101" customFormat="1" ht="18.75" customHeight="1">
      <c r="A31" s="824" t="s">
        <v>494</v>
      </c>
      <c r="B31" s="175">
        <v>13846806</v>
      </c>
      <c r="C31" s="175">
        <f>B31</f>
        <v>13846806</v>
      </c>
      <c r="D31" s="1392">
        <f>G31</f>
        <v>1418637.62</v>
      </c>
      <c r="E31" s="1393"/>
      <c r="F31" s="176">
        <f t="shared" si="2"/>
        <v>10.24523359394217</v>
      </c>
      <c r="G31" s="1398">
        <v>1418637.62</v>
      </c>
      <c r="H31" s="1398"/>
      <c r="I31" s="1398"/>
      <c r="J31" s="175">
        <f t="shared" si="3"/>
        <v>10.24523359394217</v>
      </c>
      <c r="K31" s="827">
        <f t="shared" si="4"/>
        <v>12428168.379999999</v>
      </c>
      <c r="L31" s="189"/>
      <c r="M31" s="171"/>
      <c r="N31" s="96"/>
      <c r="O31" s="96"/>
    </row>
    <row r="32" spans="1:15" s="101" customFormat="1" ht="18.75" customHeight="1">
      <c r="A32" s="825" t="s">
        <v>495</v>
      </c>
      <c r="B32" s="190">
        <v>203185262</v>
      </c>
      <c r="C32" s="190">
        <f>B32</f>
        <v>203185262</v>
      </c>
      <c r="D32" s="1389">
        <f>G32</f>
        <v>3293998.47</v>
      </c>
      <c r="E32" s="1390"/>
      <c r="F32" s="191">
        <f>D32/C32*100</f>
        <v>1.6211798225798484</v>
      </c>
      <c r="G32" s="1391">
        <v>3293998.47</v>
      </c>
      <c r="H32" s="1391"/>
      <c r="I32" s="1391"/>
      <c r="J32" s="190">
        <f aca="true" t="shared" si="5" ref="J32:J40">G32/C32*100</f>
        <v>1.6211798225798484</v>
      </c>
      <c r="K32" s="828">
        <f>C32-G32</f>
        <v>199891263.53</v>
      </c>
      <c r="L32" s="193"/>
      <c r="M32" s="194"/>
      <c r="N32" s="194"/>
      <c r="O32" s="194"/>
    </row>
    <row r="33" spans="1:15" s="101" customFormat="1" ht="18.75" customHeight="1">
      <c r="A33" s="195"/>
      <c r="B33" s="176"/>
      <c r="C33" s="176"/>
      <c r="D33" s="196"/>
      <c r="E33" s="197"/>
      <c r="F33" s="176"/>
      <c r="G33" s="104"/>
      <c r="H33" s="104"/>
      <c r="I33" s="104"/>
      <c r="J33" s="176"/>
      <c r="K33" s="198"/>
      <c r="L33" s="199"/>
      <c r="M33" s="194"/>
      <c r="N33" s="194"/>
      <c r="O33" s="194"/>
    </row>
    <row r="34" spans="1:15" s="128" customFormat="1" ht="15">
      <c r="A34" s="1395" t="s">
        <v>2</v>
      </c>
      <c r="B34" s="1383" t="s">
        <v>3</v>
      </c>
      <c r="C34" s="1383" t="s">
        <v>310</v>
      </c>
      <c r="D34" s="1385" t="s">
        <v>4</v>
      </c>
      <c r="E34" s="1386"/>
      <c r="F34" s="1386"/>
      <c r="G34" s="1386"/>
      <c r="H34" s="1386"/>
      <c r="I34" s="1386"/>
      <c r="J34" s="1387"/>
      <c r="K34" s="1381" t="s">
        <v>311</v>
      </c>
      <c r="L34" s="200"/>
      <c r="M34" s="169"/>
      <c r="N34" s="169"/>
      <c r="O34" s="169"/>
    </row>
    <row r="35" spans="1:15" s="128" customFormat="1" ht="30">
      <c r="A35" s="1396"/>
      <c r="B35" s="1384"/>
      <c r="C35" s="1384"/>
      <c r="D35" s="1388" t="s">
        <v>312</v>
      </c>
      <c r="E35" s="1388"/>
      <c r="F35" s="161" t="s">
        <v>313</v>
      </c>
      <c r="G35" s="1419" t="s">
        <v>314</v>
      </c>
      <c r="H35" s="1419"/>
      <c r="I35" s="1419"/>
      <c r="J35" s="162" t="s">
        <v>315</v>
      </c>
      <c r="K35" s="1382"/>
      <c r="L35" s="200"/>
      <c r="M35" s="169"/>
      <c r="N35" s="169"/>
      <c r="O35" s="169"/>
    </row>
    <row r="36" spans="1:15" s="119" customFormat="1" ht="18.75" customHeight="1">
      <c r="A36" s="829" t="s">
        <v>19</v>
      </c>
      <c r="B36" s="201">
        <f>B37+B40+B44+B47</f>
        <v>163548444.22</v>
      </c>
      <c r="C36" s="202">
        <f>C37+C40+C44+C47</f>
        <v>163548444.22</v>
      </c>
      <c r="D36" s="1417">
        <f>D37+D40+D44+D47</f>
        <v>5580305</v>
      </c>
      <c r="E36" s="1417"/>
      <c r="F36" s="203">
        <f>D36/C36*100</f>
        <v>3.4120196169482093</v>
      </c>
      <c r="G36" s="1418">
        <f>G37+G40+G44+G47</f>
        <v>5580305</v>
      </c>
      <c r="H36" s="1418"/>
      <c r="I36" s="1418"/>
      <c r="J36" s="204">
        <f t="shared" si="5"/>
        <v>3.4120196169482093</v>
      </c>
      <c r="K36" s="949">
        <f>K37+K40+K44+K47</f>
        <v>157968139.22</v>
      </c>
      <c r="L36" s="205"/>
      <c r="M36" s="100"/>
      <c r="N36" s="100"/>
      <c r="O36" s="100"/>
    </row>
    <row r="37" spans="1:15" s="119" customFormat="1" ht="18.75" customHeight="1">
      <c r="A37" s="823" t="s">
        <v>20</v>
      </c>
      <c r="B37" s="170">
        <f>B38+B39</f>
        <v>163486664.22</v>
      </c>
      <c r="C37" s="170">
        <f>C38+C39</f>
        <v>163486664.22</v>
      </c>
      <c r="D37" s="1401">
        <f>D38+D39</f>
        <v>5580305</v>
      </c>
      <c r="E37" s="1402"/>
      <c r="F37" s="171">
        <f>D37/C37*100</f>
        <v>3.4133089855517023</v>
      </c>
      <c r="G37" s="1394">
        <f>G38+G39</f>
        <v>5580305</v>
      </c>
      <c r="H37" s="1394"/>
      <c r="I37" s="1394"/>
      <c r="J37" s="170">
        <f t="shared" si="5"/>
        <v>3.4133089855517023</v>
      </c>
      <c r="K37" s="941">
        <f>K38+K39</f>
        <v>157906359.22</v>
      </c>
      <c r="L37" s="181"/>
      <c r="M37" s="100"/>
      <c r="N37" s="100"/>
      <c r="O37" s="100"/>
    </row>
    <row r="38" spans="1:15" s="101" customFormat="1" ht="18.75" customHeight="1">
      <c r="A38" s="824" t="s">
        <v>485</v>
      </c>
      <c r="B38" s="175">
        <v>149743848</v>
      </c>
      <c r="C38" s="175">
        <f>B38</f>
        <v>149743848</v>
      </c>
      <c r="D38" s="1392">
        <f>G38</f>
        <v>5580305</v>
      </c>
      <c r="E38" s="1393"/>
      <c r="F38" s="176">
        <f>D38/C38*100</f>
        <v>3.726567117468492</v>
      </c>
      <c r="G38" s="1398">
        <v>5580305</v>
      </c>
      <c r="H38" s="1398"/>
      <c r="I38" s="1398"/>
      <c r="J38" s="170">
        <f t="shared" si="5"/>
        <v>3.726567117468492</v>
      </c>
      <c r="K38" s="948">
        <f>C38-G38</f>
        <v>144163543</v>
      </c>
      <c r="L38" s="179"/>
      <c r="M38" s="96"/>
      <c r="N38" s="96"/>
      <c r="O38" s="96"/>
    </row>
    <row r="39" spans="1:15" s="101" customFormat="1" ht="18.75" customHeight="1">
      <c r="A39" s="824" t="s">
        <v>486</v>
      </c>
      <c r="B39" s="175">
        <v>13742816.22</v>
      </c>
      <c r="C39" s="175">
        <f>B39</f>
        <v>13742816.22</v>
      </c>
      <c r="D39" s="1392">
        <f>G39</f>
        <v>0</v>
      </c>
      <c r="E39" s="1393"/>
      <c r="F39" s="176">
        <f>D39/C39*100</f>
        <v>0</v>
      </c>
      <c r="G39" s="1398">
        <v>0</v>
      </c>
      <c r="H39" s="1398"/>
      <c r="I39" s="1398"/>
      <c r="J39" s="175">
        <f t="shared" si="5"/>
        <v>0</v>
      </c>
      <c r="K39" s="827">
        <f>C39-G39</f>
        <v>13742816.22</v>
      </c>
      <c r="L39" s="179"/>
      <c r="M39" s="96"/>
      <c r="N39" s="96"/>
      <c r="O39" s="96"/>
    </row>
    <row r="40" spans="1:15" s="119" customFormat="1" ht="18.75" customHeight="1">
      <c r="A40" s="823" t="s">
        <v>21</v>
      </c>
      <c r="B40" s="206">
        <f>B41+B42+B43</f>
        <v>61780</v>
      </c>
      <c r="C40" s="206">
        <f>C41+C42+C43</f>
        <v>61780</v>
      </c>
      <c r="D40" s="1401">
        <f>D41+D42+D43</f>
        <v>0</v>
      </c>
      <c r="E40" s="1402"/>
      <c r="F40" s="176">
        <f>D40/C40*100</f>
        <v>0</v>
      </c>
      <c r="G40" s="1394">
        <f>G41+G42</f>
        <v>0</v>
      </c>
      <c r="H40" s="1394"/>
      <c r="I40" s="1394"/>
      <c r="J40" s="175">
        <f t="shared" si="5"/>
        <v>0</v>
      </c>
      <c r="K40" s="826">
        <f>K41+K42</f>
        <v>61780</v>
      </c>
      <c r="L40" s="181"/>
      <c r="M40" s="100"/>
      <c r="N40" s="100"/>
      <c r="O40" s="100"/>
    </row>
    <row r="41" spans="1:15" s="101" customFormat="1" ht="18.75" customHeight="1">
      <c r="A41" s="824" t="s">
        <v>22</v>
      </c>
      <c r="B41" s="180">
        <v>34329</v>
      </c>
      <c r="C41" s="180">
        <f>B41</f>
        <v>34329</v>
      </c>
      <c r="D41" s="1392">
        <f>G41</f>
        <v>0</v>
      </c>
      <c r="E41" s="1393"/>
      <c r="F41" s="176"/>
      <c r="G41" s="1398">
        <v>0</v>
      </c>
      <c r="H41" s="1398"/>
      <c r="I41" s="1398"/>
      <c r="J41" s="175"/>
      <c r="K41" s="827">
        <f aca="true" t="shared" si="6" ref="K41:K48">C41-G41</f>
        <v>34329</v>
      </c>
      <c r="L41" s="179"/>
      <c r="M41" s="96"/>
      <c r="N41" s="96"/>
      <c r="O41" s="96"/>
    </row>
    <row r="42" spans="1:15" s="101" customFormat="1" ht="18.75" customHeight="1">
      <c r="A42" s="824" t="s">
        <v>23</v>
      </c>
      <c r="B42" s="180">
        <v>27451</v>
      </c>
      <c r="C42" s="180">
        <f>B42</f>
        <v>27451</v>
      </c>
      <c r="D42" s="1392">
        <f>G42</f>
        <v>0</v>
      </c>
      <c r="E42" s="1393"/>
      <c r="F42" s="176">
        <f>D42/C42*100</f>
        <v>0</v>
      </c>
      <c r="G42" s="1398">
        <v>0</v>
      </c>
      <c r="H42" s="1398"/>
      <c r="I42" s="1398"/>
      <c r="J42" s="175">
        <f>G42/C42*100</f>
        <v>0</v>
      </c>
      <c r="K42" s="827">
        <f t="shared" si="6"/>
        <v>27451</v>
      </c>
      <c r="L42" s="179"/>
      <c r="M42" s="96"/>
      <c r="N42" s="96"/>
      <c r="O42" s="96"/>
    </row>
    <row r="43" spans="1:15" s="101" customFormat="1" ht="18.75" customHeight="1">
      <c r="A43" s="824" t="s">
        <v>487</v>
      </c>
      <c r="B43" s="180"/>
      <c r="C43" s="180"/>
      <c r="D43" s="1392"/>
      <c r="E43" s="1416"/>
      <c r="F43" s="176"/>
      <c r="G43" s="1398">
        <v>0</v>
      </c>
      <c r="H43" s="1398"/>
      <c r="I43" s="1398"/>
      <c r="J43" s="175"/>
      <c r="K43" s="827"/>
      <c r="L43" s="179"/>
      <c r="M43" s="96"/>
      <c r="N43" s="96"/>
      <c r="O43" s="96"/>
    </row>
    <row r="44" spans="1:15" s="119" customFormat="1" ht="18.75" customHeight="1">
      <c r="A44" s="823" t="s">
        <v>24</v>
      </c>
      <c r="B44" s="207">
        <f>B45+B46</f>
        <v>0</v>
      </c>
      <c r="C44" s="206">
        <f>C45+C46</f>
        <v>0</v>
      </c>
      <c r="D44" s="1415">
        <f>D45+D46</f>
        <v>0</v>
      </c>
      <c r="E44" s="1415"/>
      <c r="F44" s="176"/>
      <c r="G44" s="1394">
        <f>G45+G46</f>
        <v>0</v>
      </c>
      <c r="H44" s="1394"/>
      <c r="I44" s="1394"/>
      <c r="J44" s="170"/>
      <c r="K44" s="842">
        <f>SUM(K45:K46)</f>
        <v>0</v>
      </c>
      <c r="L44" s="181"/>
      <c r="M44" s="100"/>
      <c r="N44" s="100"/>
      <c r="O44" s="100"/>
    </row>
    <row r="45" spans="1:15" s="101" customFormat="1" ht="18.75" customHeight="1">
      <c r="A45" s="824" t="s">
        <v>490</v>
      </c>
      <c r="B45" s="180"/>
      <c r="C45" s="180">
        <v>0</v>
      </c>
      <c r="D45" s="1392">
        <f>G45-'Anexo 1 _ BAL ORC'!G45</f>
        <v>0</v>
      </c>
      <c r="E45" s="1393"/>
      <c r="F45" s="176"/>
      <c r="G45" s="1398"/>
      <c r="H45" s="1398"/>
      <c r="I45" s="1398"/>
      <c r="J45" s="170"/>
      <c r="K45" s="827">
        <f t="shared" si="6"/>
        <v>0</v>
      </c>
      <c r="L45" s="179"/>
      <c r="M45" s="96"/>
      <c r="N45" s="96"/>
      <c r="O45" s="96"/>
    </row>
    <row r="46" spans="1:15" s="101" customFormat="1" ht="18.75" customHeight="1">
      <c r="A46" s="824" t="s">
        <v>496</v>
      </c>
      <c r="B46" s="180"/>
      <c r="C46" s="175"/>
      <c r="D46" s="1392"/>
      <c r="E46" s="1393"/>
      <c r="F46" s="176"/>
      <c r="G46" s="1398"/>
      <c r="H46" s="1398"/>
      <c r="I46" s="1398"/>
      <c r="J46" s="170"/>
      <c r="K46" s="827">
        <f t="shared" si="6"/>
        <v>0</v>
      </c>
      <c r="L46" s="179"/>
      <c r="M46" s="96"/>
      <c r="N46" s="96"/>
      <c r="O46" s="96"/>
    </row>
    <row r="47" spans="1:15" s="119" customFormat="1" ht="18.75" customHeight="1">
      <c r="A47" s="823" t="s">
        <v>25</v>
      </c>
      <c r="B47" s="207">
        <f>B48</f>
        <v>0</v>
      </c>
      <c r="C47" s="207">
        <f>C48</f>
        <v>0</v>
      </c>
      <c r="D47" s="1392">
        <f>D48</f>
        <v>0</v>
      </c>
      <c r="E47" s="1393"/>
      <c r="F47" s="176"/>
      <c r="G47" s="1394"/>
      <c r="H47" s="1394"/>
      <c r="I47" s="1394"/>
      <c r="J47" s="170"/>
      <c r="K47" s="826">
        <f>K48</f>
        <v>0</v>
      </c>
      <c r="L47" s="181"/>
      <c r="M47" s="100"/>
      <c r="N47" s="100"/>
      <c r="O47" s="100"/>
    </row>
    <row r="48" spans="1:18" s="101" customFormat="1" ht="18.75" customHeight="1">
      <c r="A48" s="824" t="s">
        <v>26</v>
      </c>
      <c r="B48" s="180">
        <v>0</v>
      </c>
      <c r="C48" s="180">
        <v>0</v>
      </c>
      <c r="D48" s="1392">
        <f>G48-'Anexo 1 _ BAL ORC'!G48</f>
        <v>0</v>
      </c>
      <c r="E48" s="1393"/>
      <c r="F48" s="176"/>
      <c r="G48" s="1398"/>
      <c r="H48" s="1398"/>
      <c r="I48" s="1398"/>
      <c r="J48" s="170"/>
      <c r="K48" s="827">
        <f t="shared" si="6"/>
        <v>0</v>
      </c>
      <c r="L48" s="179"/>
      <c r="M48" s="96"/>
      <c r="N48" s="96"/>
      <c r="O48" s="96"/>
      <c r="R48" s="208"/>
    </row>
    <row r="49" spans="1:15" s="101" customFormat="1" ht="18.75" customHeight="1">
      <c r="A49" s="822" t="s">
        <v>27</v>
      </c>
      <c r="B49" s="170">
        <v>85956844</v>
      </c>
      <c r="C49" s="170">
        <f>B49</f>
        <v>85956844</v>
      </c>
      <c r="D49" s="1392">
        <f>G49</f>
        <v>11931595.42</v>
      </c>
      <c r="E49" s="1393"/>
      <c r="F49" s="171">
        <f>D49/C49*100</f>
        <v>13.880913799022215</v>
      </c>
      <c r="G49" s="1398">
        <v>11931595.42</v>
      </c>
      <c r="H49" s="1398"/>
      <c r="I49" s="1398"/>
      <c r="J49" s="170">
        <f>G49/C49*100</f>
        <v>13.880913799022215</v>
      </c>
      <c r="K49" s="826">
        <f>C49-G49</f>
        <v>74025248.58</v>
      </c>
      <c r="L49" s="179"/>
      <c r="M49" s="96"/>
      <c r="N49" s="96"/>
      <c r="O49" s="96"/>
    </row>
    <row r="50" spans="1:15" s="119" customFormat="1" ht="18.75" customHeight="1">
      <c r="A50" s="830" t="s">
        <v>740</v>
      </c>
      <c r="B50" s="165">
        <f>B10+B49</f>
        <v>3501640568.36</v>
      </c>
      <c r="C50" s="165">
        <f>C10+C49</f>
        <v>3501640568.36</v>
      </c>
      <c r="D50" s="1413">
        <f>D11+D36+D49</f>
        <v>580511399.5699999</v>
      </c>
      <c r="E50" s="1413"/>
      <c r="F50" s="165">
        <f>D50/C50*100</f>
        <v>16.57826919231415</v>
      </c>
      <c r="G50" s="1414">
        <f>G11+G36+G49</f>
        <v>580511399.5699999</v>
      </c>
      <c r="H50" s="1414"/>
      <c r="I50" s="1414"/>
      <c r="J50" s="165">
        <f>G50/C50*100</f>
        <v>16.57826919231415</v>
      </c>
      <c r="K50" s="943">
        <f>K10+K49</f>
        <v>2921129168.7899995</v>
      </c>
      <c r="L50" s="172"/>
      <c r="M50" s="171"/>
      <c r="N50" s="188"/>
      <c r="O50" s="188"/>
    </row>
    <row r="51" spans="1:15" s="119" customFormat="1" ht="18.75" customHeight="1">
      <c r="A51" s="984" t="s">
        <v>497</v>
      </c>
      <c r="B51" s="209">
        <f>B52+B55</f>
        <v>0</v>
      </c>
      <c r="C51" s="209">
        <f>C52+C55</f>
        <v>0</v>
      </c>
      <c r="D51" s="1411">
        <f>D52+D55</f>
        <v>0</v>
      </c>
      <c r="E51" s="1412"/>
      <c r="F51" s="211">
        <v>0</v>
      </c>
      <c r="G51" s="1394">
        <f>G52+G55</f>
        <v>0</v>
      </c>
      <c r="H51" s="1394"/>
      <c r="I51" s="1394"/>
      <c r="J51" s="175">
        <v>0</v>
      </c>
      <c r="K51" s="843">
        <f>K52+K55</f>
        <v>0</v>
      </c>
      <c r="L51" s="212"/>
      <c r="M51" s="100"/>
      <c r="N51" s="100"/>
      <c r="O51" s="100"/>
    </row>
    <row r="52" spans="1:15" s="119" customFormat="1" ht="18.75" customHeight="1">
      <c r="A52" s="824" t="s">
        <v>485</v>
      </c>
      <c r="B52" s="213">
        <f>SUM(B53:B54)</f>
        <v>0</v>
      </c>
      <c r="C52" s="213">
        <f>SUM(C53:C54)</f>
        <v>0</v>
      </c>
      <c r="D52" s="1401">
        <f>SUM(D53:D54)</f>
        <v>0</v>
      </c>
      <c r="E52" s="1402"/>
      <c r="F52" s="207">
        <v>0</v>
      </c>
      <c r="G52" s="1394">
        <f>SUM(H53:H54)</f>
        <v>0</v>
      </c>
      <c r="H52" s="1394"/>
      <c r="I52" s="1394"/>
      <c r="J52" s="175">
        <v>0</v>
      </c>
      <c r="K52" s="844">
        <f>SUM(K53:K54)</f>
        <v>0</v>
      </c>
      <c r="L52" s="181"/>
      <c r="M52" s="100"/>
      <c r="N52" s="100"/>
      <c r="O52" s="100"/>
    </row>
    <row r="53" spans="1:15" s="101" customFormat="1" ht="18.75" customHeight="1">
      <c r="A53" s="832" t="s">
        <v>28</v>
      </c>
      <c r="B53" s="214">
        <v>0</v>
      </c>
      <c r="C53" s="214">
        <v>0</v>
      </c>
      <c r="D53" s="1392"/>
      <c r="E53" s="1393"/>
      <c r="F53" s="175">
        <v>0</v>
      </c>
      <c r="G53" s="1398">
        <v>0</v>
      </c>
      <c r="H53" s="1398"/>
      <c r="I53" s="1398"/>
      <c r="J53" s="175">
        <v>0</v>
      </c>
      <c r="K53" s="827">
        <v>0</v>
      </c>
      <c r="L53" s="179"/>
      <c r="M53" s="96"/>
      <c r="N53" s="96"/>
      <c r="O53" s="96"/>
    </row>
    <row r="54" spans="1:15" s="101" customFormat="1" ht="18.75" customHeight="1">
      <c r="A54" s="832" t="s">
        <v>29</v>
      </c>
      <c r="B54" s="214">
        <v>0</v>
      </c>
      <c r="C54" s="214">
        <v>0</v>
      </c>
      <c r="D54" s="1392"/>
      <c r="E54" s="1393"/>
      <c r="F54" s="175">
        <v>0</v>
      </c>
      <c r="G54" s="1398">
        <v>0</v>
      </c>
      <c r="H54" s="1398"/>
      <c r="I54" s="1398"/>
      <c r="J54" s="175">
        <v>0</v>
      </c>
      <c r="K54" s="827">
        <v>0</v>
      </c>
      <c r="L54" s="179"/>
      <c r="M54" s="96"/>
      <c r="N54" s="96"/>
      <c r="O54" s="96"/>
    </row>
    <row r="55" spans="1:15" s="101" customFormat="1" ht="18.75" customHeight="1">
      <c r="A55" s="824" t="s">
        <v>486</v>
      </c>
      <c r="B55" s="213">
        <f>SUM(B56:B57)</f>
        <v>0</v>
      </c>
      <c r="C55" s="213">
        <f>SUM(C56:C57)</f>
        <v>0</v>
      </c>
      <c r="D55" s="1401">
        <f>SUM(D56:D57)</f>
        <v>0</v>
      </c>
      <c r="E55" s="1402"/>
      <c r="F55" s="207">
        <v>0</v>
      </c>
      <c r="G55" s="1394">
        <f>SUM(H56:H57)</f>
        <v>0</v>
      </c>
      <c r="H55" s="1394"/>
      <c r="I55" s="1394"/>
      <c r="J55" s="175">
        <v>0</v>
      </c>
      <c r="K55" s="844">
        <f>SUM(K56:K57)</f>
        <v>0</v>
      </c>
      <c r="L55" s="215"/>
      <c r="M55" s="96"/>
      <c r="N55" s="96"/>
      <c r="O55" s="96"/>
    </row>
    <row r="56" spans="1:15" s="101" customFormat="1" ht="18.75" customHeight="1">
      <c r="A56" s="832" t="s">
        <v>28</v>
      </c>
      <c r="B56" s="214">
        <v>0</v>
      </c>
      <c r="C56" s="214">
        <v>0</v>
      </c>
      <c r="D56" s="1392"/>
      <c r="E56" s="1393"/>
      <c r="F56" s="175">
        <v>0</v>
      </c>
      <c r="G56" s="1398">
        <v>0</v>
      </c>
      <c r="H56" s="1398"/>
      <c r="I56" s="1398"/>
      <c r="J56" s="175">
        <v>0</v>
      </c>
      <c r="K56" s="827">
        <v>0</v>
      </c>
      <c r="L56" s="215"/>
      <c r="M56" s="96"/>
      <c r="N56" s="96"/>
      <c r="O56" s="96"/>
    </row>
    <row r="57" spans="1:15" s="101" customFormat="1" ht="18.75" customHeight="1">
      <c r="A57" s="832" t="s">
        <v>29</v>
      </c>
      <c r="B57" s="216">
        <v>0</v>
      </c>
      <c r="C57" s="216">
        <v>0</v>
      </c>
      <c r="D57" s="1392"/>
      <c r="E57" s="1393"/>
      <c r="F57" s="217">
        <v>0</v>
      </c>
      <c r="G57" s="1406">
        <v>0</v>
      </c>
      <c r="H57" s="1406"/>
      <c r="I57" s="1406"/>
      <c r="J57" s="175">
        <v>0</v>
      </c>
      <c r="K57" s="827">
        <v>0</v>
      </c>
      <c r="L57" s="215"/>
      <c r="M57" s="96"/>
      <c r="N57" s="96"/>
      <c r="O57" s="96"/>
    </row>
    <row r="58" spans="1:15" s="119" customFormat="1" ht="18.75" customHeight="1">
      <c r="A58" s="830" t="s">
        <v>368</v>
      </c>
      <c r="B58" s="166">
        <f>B50+B51</f>
        <v>3501640568.36</v>
      </c>
      <c r="C58" s="166">
        <f>C50+C51</f>
        <v>3501640568.36</v>
      </c>
      <c r="D58" s="1407">
        <f>D50+D51</f>
        <v>580511399.5699999</v>
      </c>
      <c r="E58" s="1407"/>
      <c r="F58" s="218">
        <f>D58/C58*100</f>
        <v>16.57826919231415</v>
      </c>
      <c r="G58" s="1408">
        <f>G50+G51</f>
        <v>580511399.5699999</v>
      </c>
      <c r="H58" s="1409"/>
      <c r="I58" s="1410"/>
      <c r="J58" s="165">
        <f>G58/C58*100</f>
        <v>16.57826919231415</v>
      </c>
      <c r="K58" s="943">
        <f>K50+K51</f>
        <v>2921129168.7899995</v>
      </c>
      <c r="L58" s="181"/>
      <c r="M58" s="171"/>
      <c r="N58" s="100"/>
      <c r="O58" s="100"/>
    </row>
    <row r="59" spans="1:24" s="119" customFormat="1" ht="18.75" customHeight="1">
      <c r="A59" s="830" t="s">
        <v>30</v>
      </c>
      <c r="B59" s="209">
        <v>0</v>
      </c>
      <c r="C59" s="209">
        <v>0</v>
      </c>
      <c r="D59" s="1399">
        <v>0</v>
      </c>
      <c r="E59" s="1400"/>
      <c r="F59" s="219">
        <v>0</v>
      </c>
      <c r="G59" s="1399"/>
      <c r="H59" s="1427"/>
      <c r="I59" s="1400"/>
      <c r="J59" s="219">
        <v>0</v>
      </c>
      <c r="K59" s="945">
        <f>-G59</f>
        <v>0</v>
      </c>
      <c r="L59" s="220"/>
      <c r="M59" s="221"/>
      <c r="N59" s="221"/>
      <c r="O59" s="221"/>
      <c r="P59" s="220"/>
      <c r="Q59" s="220"/>
      <c r="R59" s="220"/>
      <c r="S59" s="220"/>
      <c r="T59" s="220"/>
      <c r="U59" s="220"/>
      <c r="V59" s="220"/>
      <c r="W59" s="220"/>
      <c r="X59" s="220"/>
    </row>
    <row r="60" spans="1:15" s="119" customFormat="1" ht="18.75" customHeight="1">
      <c r="A60" s="830" t="s">
        <v>737</v>
      </c>
      <c r="B60" s="950">
        <f>B58+B59</f>
        <v>3501640568.36</v>
      </c>
      <c r="C60" s="950">
        <f>C58+C59</f>
        <v>3501640568.36</v>
      </c>
      <c r="D60" s="1404">
        <f>D58+D59</f>
        <v>580511399.5699999</v>
      </c>
      <c r="E60" s="1404"/>
      <c r="F60" s="951">
        <f>D60/C60*100</f>
        <v>16.57826919231415</v>
      </c>
      <c r="G60" s="1404">
        <f>G58+G59</f>
        <v>580511399.5699999</v>
      </c>
      <c r="H60" s="1404"/>
      <c r="I60" s="1404"/>
      <c r="J60" s="951">
        <f>G60/C60*100</f>
        <v>16.57826919231415</v>
      </c>
      <c r="K60" s="954">
        <f>K58+K59</f>
        <v>2921129168.7899995</v>
      </c>
      <c r="L60" s="181"/>
      <c r="M60" s="222"/>
      <c r="N60" s="100"/>
      <c r="O60" s="100"/>
    </row>
    <row r="61" spans="1:15" s="119" customFormat="1" ht="18.75" customHeight="1">
      <c r="A61" s="956" t="s">
        <v>529</v>
      </c>
      <c r="B61" s="958"/>
      <c r="C61" s="1228">
        <f>C62+C63</f>
        <v>42827601.07000017</v>
      </c>
      <c r="D61" s="1377"/>
      <c r="E61" s="1377"/>
      <c r="F61" s="959"/>
      <c r="G61" s="1379"/>
      <c r="H61" s="1379"/>
      <c r="I61" s="1379"/>
      <c r="J61" s="960"/>
      <c r="K61" s="961"/>
      <c r="L61" s="181"/>
      <c r="M61" s="222"/>
      <c r="N61" s="100"/>
      <c r="O61" s="100"/>
    </row>
    <row r="62" spans="1:15" s="119" customFormat="1" ht="18.75" customHeight="1">
      <c r="A62" s="952" t="s">
        <v>530</v>
      </c>
      <c r="B62" s="147"/>
      <c r="C62" s="957">
        <v>0</v>
      </c>
      <c r="D62" s="1378"/>
      <c r="E62" s="1378"/>
      <c r="F62" s="962"/>
      <c r="G62" s="1380"/>
      <c r="H62" s="1380"/>
      <c r="I62" s="1380"/>
      <c r="J62" s="963"/>
      <c r="K62" s="964"/>
      <c r="L62" s="181"/>
      <c r="M62" s="222"/>
      <c r="N62" s="100"/>
      <c r="O62" s="100"/>
    </row>
    <row r="63" spans="1:15" s="119" customFormat="1" ht="15.75">
      <c r="A63" s="953" t="s">
        <v>531</v>
      </c>
      <c r="B63" s="955"/>
      <c r="C63" s="1229">
        <f>C82-C60</f>
        <v>42827601.07000017</v>
      </c>
      <c r="D63" s="1405"/>
      <c r="E63" s="1405"/>
      <c r="F63" s="965"/>
      <c r="G63" s="1397"/>
      <c r="H63" s="1397"/>
      <c r="I63" s="1397"/>
      <c r="J63" s="965"/>
      <c r="K63" s="966"/>
      <c r="L63" s="212"/>
      <c r="M63" s="100"/>
      <c r="N63" s="100"/>
      <c r="O63" s="100"/>
    </row>
    <row r="64" spans="1:15" s="101" customFormat="1" ht="18.75" customHeight="1">
      <c r="A64" s="236"/>
      <c r="B64" s="224"/>
      <c r="C64" s="224"/>
      <c r="D64" s="224"/>
      <c r="E64" s="224"/>
      <c r="F64" s="224"/>
      <c r="G64" s="224"/>
      <c r="H64" s="566"/>
      <c r="I64" s="224"/>
      <c r="J64" s="224"/>
      <c r="K64" s="224"/>
      <c r="L64" s="179"/>
      <c r="M64" s="96"/>
      <c r="N64" s="96"/>
      <c r="O64" s="96"/>
    </row>
    <row r="65" spans="1:23" s="101" customFormat="1" ht="18.75" customHeight="1">
      <c r="A65" s="833"/>
      <c r="B65" s="94" t="s">
        <v>31</v>
      </c>
      <c r="C65" s="95" t="s">
        <v>31</v>
      </c>
      <c r="D65" s="1434" t="s">
        <v>242</v>
      </c>
      <c r="E65" s="1435"/>
      <c r="F65" s="1436" t="s">
        <v>161</v>
      </c>
      <c r="G65" s="1438" t="s">
        <v>298</v>
      </c>
      <c r="H65" s="1439"/>
      <c r="I65" s="1431" t="s">
        <v>161</v>
      </c>
      <c r="J65" s="1429" t="s">
        <v>300</v>
      </c>
      <c r="K65" s="1381" t="s">
        <v>149</v>
      </c>
      <c r="L65" s="96"/>
      <c r="M65" s="97"/>
      <c r="N65" s="98"/>
      <c r="O65" s="99"/>
      <c r="P65" s="100"/>
      <c r="Q65" s="100"/>
      <c r="R65" s="96"/>
      <c r="S65" s="96"/>
      <c r="T65" s="96"/>
      <c r="U65" s="96"/>
      <c r="V65" s="96"/>
      <c r="W65" s="96"/>
    </row>
    <row r="66" spans="1:23" s="101" customFormat="1" ht="18.75" customHeight="1">
      <c r="A66" s="834"/>
      <c r="B66" s="102"/>
      <c r="C66" s="102"/>
      <c r="D66" s="102"/>
      <c r="E66" s="103"/>
      <c r="F66" s="1437"/>
      <c r="G66" s="1440"/>
      <c r="H66" s="1441"/>
      <c r="I66" s="1432"/>
      <c r="J66" s="1430"/>
      <c r="K66" s="1381"/>
      <c r="L66" s="96"/>
      <c r="M66" s="104"/>
      <c r="N66" s="104"/>
      <c r="O66" s="99"/>
      <c r="P66" s="100"/>
      <c r="Q66" s="100"/>
      <c r="R66" s="96"/>
      <c r="S66" s="96"/>
      <c r="T66" s="96"/>
      <c r="U66" s="96"/>
      <c r="V66" s="96"/>
      <c r="W66" s="96"/>
    </row>
    <row r="67" spans="1:23" s="101" customFormat="1" ht="18.75" customHeight="1">
      <c r="A67" s="835" t="s">
        <v>32</v>
      </c>
      <c r="B67" s="105" t="s">
        <v>33</v>
      </c>
      <c r="C67" s="105" t="s">
        <v>34</v>
      </c>
      <c r="D67" s="105" t="s">
        <v>62</v>
      </c>
      <c r="E67" s="106" t="s">
        <v>63</v>
      </c>
      <c r="F67" s="1430"/>
      <c r="G67" s="1423" t="s">
        <v>5</v>
      </c>
      <c r="H67" s="107" t="s">
        <v>303</v>
      </c>
      <c r="I67" s="1433"/>
      <c r="J67" s="1430"/>
      <c r="K67" s="1381"/>
      <c r="L67" s="96"/>
      <c r="M67" s="104"/>
      <c r="N67" s="104"/>
      <c r="O67" s="99"/>
      <c r="P67" s="100"/>
      <c r="Q67" s="100"/>
      <c r="R67" s="96"/>
      <c r="S67" s="96"/>
      <c r="T67" s="96"/>
      <c r="U67" s="96"/>
      <c r="V67" s="96"/>
      <c r="W67" s="96"/>
    </row>
    <row r="68" spans="1:23" s="101" customFormat="1" ht="18.75" customHeight="1">
      <c r="A68" s="836"/>
      <c r="B68" s="109" t="s">
        <v>35</v>
      </c>
      <c r="C68" s="110" t="s">
        <v>36</v>
      </c>
      <c r="D68" s="109"/>
      <c r="E68" s="110" t="s">
        <v>296</v>
      </c>
      <c r="F68" s="110" t="s">
        <v>297</v>
      </c>
      <c r="G68" s="1384"/>
      <c r="H68" s="111" t="s">
        <v>37</v>
      </c>
      <c r="I68" s="112" t="s">
        <v>299</v>
      </c>
      <c r="J68" s="113" t="s">
        <v>301</v>
      </c>
      <c r="K68" s="845" t="s">
        <v>302</v>
      </c>
      <c r="L68" s="96"/>
      <c r="M68" s="104"/>
      <c r="N68" s="104"/>
      <c r="O68" s="104"/>
      <c r="P68" s="96"/>
      <c r="Q68" s="96"/>
      <c r="R68" s="96"/>
      <c r="S68" s="96"/>
      <c r="T68" s="96"/>
      <c r="U68" s="96"/>
      <c r="V68" s="96"/>
      <c r="W68" s="96"/>
    </row>
    <row r="69" spans="1:23" s="101" customFormat="1" ht="18.75" customHeight="1">
      <c r="A69" s="822" t="s">
        <v>38</v>
      </c>
      <c r="B69" s="114">
        <f aca="true" t="shared" si="7" ref="B69:K69">B70+B76+B80</f>
        <v>3405794955.36</v>
      </c>
      <c r="C69" s="114">
        <f t="shared" si="7"/>
        <v>3448622556.4300003</v>
      </c>
      <c r="D69" s="935">
        <f t="shared" si="7"/>
        <v>2083492673.78</v>
      </c>
      <c r="E69" s="114">
        <f t="shared" si="7"/>
        <v>2083492673.78</v>
      </c>
      <c r="F69" s="114">
        <f t="shared" si="7"/>
        <v>1365129882.65</v>
      </c>
      <c r="G69" s="114">
        <f t="shared" si="7"/>
        <v>283078982.84000003</v>
      </c>
      <c r="H69" s="935">
        <f t="shared" si="7"/>
        <v>283078982.84000003</v>
      </c>
      <c r="I69" s="114">
        <f t="shared" si="7"/>
        <v>3165543573.5899997</v>
      </c>
      <c r="J69" s="114">
        <f t="shared" si="7"/>
        <v>233427975.86</v>
      </c>
      <c r="K69" s="972">
        <f t="shared" si="7"/>
        <v>0</v>
      </c>
      <c r="L69" s="115"/>
      <c r="M69" s="104"/>
      <c r="N69" s="104"/>
      <c r="O69" s="99"/>
      <c r="P69" s="100"/>
      <c r="Q69" s="100"/>
      <c r="R69" s="96"/>
      <c r="S69" s="96"/>
      <c r="T69" s="96"/>
      <c r="U69" s="96"/>
      <c r="V69" s="96"/>
      <c r="W69" s="96"/>
    </row>
    <row r="70" spans="1:23" s="119" customFormat="1" ht="18.75" customHeight="1">
      <c r="A70" s="837" t="s">
        <v>39</v>
      </c>
      <c r="B70" s="116">
        <f>B71+B72+B73</f>
        <v>2881076533.25</v>
      </c>
      <c r="C70" s="116">
        <f>C71+C72+C73</f>
        <v>2948750653.32</v>
      </c>
      <c r="D70" s="936">
        <f aca="true" t="shared" si="8" ref="D70:I70">D71+D72+D73</f>
        <v>2009065205.27</v>
      </c>
      <c r="E70" s="116">
        <f t="shared" si="8"/>
        <v>2009065205.27</v>
      </c>
      <c r="F70" s="116">
        <f t="shared" si="8"/>
        <v>939685448.0500001</v>
      </c>
      <c r="G70" s="116">
        <f t="shared" si="8"/>
        <v>271199837.43</v>
      </c>
      <c r="H70" s="936">
        <f t="shared" si="8"/>
        <v>271199837.43</v>
      </c>
      <c r="I70" s="116">
        <f t="shared" si="8"/>
        <v>2677550815.89</v>
      </c>
      <c r="J70" s="117">
        <f>J71+J72+J73</f>
        <v>222606227.13000003</v>
      </c>
      <c r="K70" s="971">
        <f>K71+K72+K73</f>
        <v>0</v>
      </c>
      <c r="L70" s="115"/>
      <c r="M70" s="118"/>
      <c r="N70" s="104"/>
      <c r="O70" s="99"/>
      <c r="P70" s="100"/>
      <c r="Q70" s="100"/>
      <c r="R70" s="100"/>
      <c r="S70" s="100"/>
      <c r="T70" s="100"/>
      <c r="U70" s="100"/>
      <c r="V70" s="100"/>
      <c r="W70" s="100"/>
    </row>
    <row r="71" spans="1:23" s="119" customFormat="1" ht="18.75" customHeight="1">
      <c r="A71" s="838" t="s">
        <v>40</v>
      </c>
      <c r="B71" s="120">
        <f>1803524271.98-B81</f>
        <v>1707678658.98</v>
      </c>
      <c r="C71" s="120">
        <f>B71+20105912.08-12394506.21</f>
        <v>1715390064.85</v>
      </c>
      <c r="D71" s="1237">
        <f>E71</f>
        <v>1563095561.95</v>
      </c>
      <c r="E71" s="933">
        <f>1635152194.95-E81</f>
        <v>1563095561.95</v>
      </c>
      <c r="F71" s="120">
        <f>C71-E71</f>
        <v>152294502.89999986</v>
      </c>
      <c r="G71" s="121">
        <f>H71</f>
        <v>223248985.42000002</v>
      </c>
      <c r="H71" s="967">
        <f>233274111.28-H81</f>
        <v>223248985.42000002</v>
      </c>
      <c r="I71" s="120">
        <f>C71-H71</f>
        <v>1492141079.4299998</v>
      </c>
      <c r="J71" s="103">
        <f>212837505.09-J81</f>
        <v>202812379.23000002</v>
      </c>
      <c r="K71" s="790"/>
      <c r="L71" s="115"/>
      <c r="M71" s="104"/>
      <c r="N71" s="104"/>
      <c r="O71" s="99"/>
      <c r="P71" s="100"/>
      <c r="Q71" s="100"/>
      <c r="R71" s="100"/>
      <c r="S71" s="100"/>
      <c r="T71" s="100"/>
      <c r="U71" s="100"/>
      <c r="V71" s="100"/>
      <c r="W71" s="100"/>
    </row>
    <row r="72" spans="1:15" s="101" customFormat="1" ht="18.75" customHeight="1">
      <c r="A72" s="838" t="s">
        <v>41</v>
      </c>
      <c r="B72" s="120">
        <v>31617935.88</v>
      </c>
      <c r="C72" s="120">
        <f>B72</f>
        <v>31617935.88</v>
      </c>
      <c r="D72" s="121">
        <f>E72</f>
        <v>11728681.29</v>
      </c>
      <c r="E72" s="122">
        <v>11728681.29</v>
      </c>
      <c r="F72" s="120">
        <f aca="true" t="shared" si="9" ref="F72:F81">C72-E72</f>
        <v>19889254.59</v>
      </c>
      <c r="G72" s="121">
        <f>H72</f>
        <v>5179260.57</v>
      </c>
      <c r="H72" s="123">
        <v>5179260.57</v>
      </c>
      <c r="I72" s="120">
        <f>C72-H72</f>
        <v>26438675.31</v>
      </c>
      <c r="J72" s="103">
        <v>5118549.57</v>
      </c>
      <c r="K72" s="847"/>
      <c r="L72" s="115"/>
      <c r="M72" s="104"/>
      <c r="N72" s="104"/>
      <c r="O72" s="125"/>
    </row>
    <row r="73" spans="1:15" s="101" customFormat="1" ht="18.75" customHeight="1">
      <c r="A73" s="838" t="s">
        <v>42</v>
      </c>
      <c r="B73" s="120">
        <f aca="true" t="shared" si="10" ref="B73:J73">B74+B75</f>
        <v>1141779938.39</v>
      </c>
      <c r="C73" s="120">
        <f t="shared" si="10"/>
        <v>1201742652.5900002</v>
      </c>
      <c r="D73" s="120">
        <f t="shared" si="10"/>
        <v>434240962.03</v>
      </c>
      <c r="E73" s="120">
        <f t="shared" si="10"/>
        <v>434240962.03</v>
      </c>
      <c r="F73" s="120">
        <f t="shared" si="10"/>
        <v>767501690.5600002</v>
      </c>
      <c r="G73" s="120">
        <f t="shared" si="10"/>
        <v>42771591.44</v>
      </c>
      <c r="H73" s="120">
        <f t="shared" si="10"/>
        <v>42771591.44</v>
      </c>
      <c r="I73" s="120">
        <f t="shared" si="10"/>
        <v>1158971061.15</v>
      </c>
      <c r="J73" s="120">
        <f t="shared" si="10"/>
        <v>14675298.33</v>
      </c>
      <c r="K73" s="120"/>
      <c r="L73" s="115"/>
      <c r="M73" s="104"/>
      <c r="N73" s="104"/>
      <c r="O73" s="125"/>
    </row>
    <row r="74" spans="1:15" s="101" customFormat="1" ht="18.75" customHeight="1">
      <c r="A74" s="838" t="s">
        <v>533</v>
      </c>
      <c r="B74" s="120"/>
      <c r="C74" s="120"/>
      <c r="D74" s="988"/>
      <c r="E74" s="122"/>
      <c r="F74" s="120">
        <f t="shared" si="9"/>
        <v>0</v>
      </c>
      <c r="G74" s="988"/>
      <c r="H74" s="977"/>
      <c r="I74" s="120">
        <f>C74-H74</f>
        <v>0</v>
      </c>
      <c r="J74" s="103"/>
      <c r="K74" s="847">
        <f>E74-H74</f>
        <v>0</v>
      </c>
      <c r="L74" s="115"/>
      <c r="M74" s="104"/>
      <c r="N74" s="104"/>
      <c r="O74" s="125"/>
    </row>
    <row r="75" spans="1:15" s="101" customFormat="1" ht="18.75" customHeight="1">
      <c r="A75" s="838" t="s">
        <v>534</v>
      </c>
      <c r="B75" s="120">
        <v>1141779938.39</v>
      </c>
      <c r="C75" s="120">
        <f>B75+64646815.15-4684100.95</f>
        <v>1201742652.5900002</v>
      </c>
      <c r="D75" s="988">
        <f>E75</f>
        <v>434240962.03</v>
      </c>
      <c r="E75" s="122">
        <v>434240962.03</v>
      </c>
      <c r="F75" s="120">
        <f t="shared" si="9"/>
        <v>767501690.5600002</v>
      </c>
      <c r="G75" s="988">
        <f>H75</f>
        <v>42771591.44</v>
      </c>
      <c r="H75" s="977">
        <v>42771591.44</v>
      </c>
      <c r="I75" s="120">
        <f>C75-H75</f>
        <v>1158971061.15</v>
      </c>
      <c r="J75" s="103">
        <v>14675298.33</v>
      </c>
      <c r="K75" s="847"/>
      <c r="L75" s="115"/>
      <c r="M75" s="104"/>
      <c r="N75" s="104"/>
      <c r="O75" s="125"/>
    </row>
    <row r="76" spans="1:15" s="127" customFormat="1" ht="18.75" customHeight="1">
      <c r="A76" s="837" t="s">
        <v>43</v>
      </c>
      <c r="B76" s="116">
        <f aca="true" t="shared" si="11" ref="B76:I76">B77+B78+B79</f>
        <v>438409878.11</v>
      </c>
      <c r="C76" s="116">
        <f t="shared" si="11"/>
        <v>413563359.11</v>
      </c>
      <c r="D76" s="126">
        <f t="shared" si="11"/>
        <v>74427468.51</v>
      </c>
      <c r="E76" s="116">
        <f t="shared" si="11"/>
        <v>74427468.51</v>
      </c>
      <c r="F76" s="116">
        <f t="shared" si="11"/>
        <v>339135890.6</v>
      </c>
      <c r="G76" s="116">
        <f t="shared" si="11"/>
        <v>11879145.41</v>
      </c>
      <c r="H76" s="126">
        <f t="shared" si="11"/>
        <v>11879145.41</v>
      </c>
      <c r="I76" s="116">
        <f t="shared" si="11"/>
        <v>401684213.7</v>
      </c>
      <c r="J76" s="117">
        <f>J77+J78+J79</f>
        <v>10821748.73</v>
      </c>
      <c r="K76" s="971">
        <f>K77+K78+K79</f>
        <v>0</v>
      </c>
      <c r="L76" s="115"/>
      <c r="M76" s="104"/>
      <c r="N76" s="104"/>
      <c r="O76" s="125"/>
    </row>
    <row r="77" spans="1:15" s="128" customFormat="1" ht="18.75" customHeight="1">
      <c r="A77" s="838" t="s">
        <v>44</v>
      </c>
      <c r="B77" s="120">
        <v>331217530.74</v>
      </c>
      <c r="C77" s="120">
        <f>B77+26146277.72-50992796.72</f>
        <v>306371011.74</v>
      </c>
      <c r="D77" s="121">
        <f>E77</f>
        <v>11698087.81</v>
      </c>
      <c r="E77" s="122">
        <v>11698087.81</v>
      </c>
      <c r="F77" s="120">
        <f t="shared" si="9"/>
        <v>294672923.93</v>
      </c>
      <c r="G77" s="121">
        <f>H77</f>
        <v>556684.22</v>
      </c>
      <c r="H77" s="123">
        <v>556684.22</v>
      </c>
      <c r="I77" s="120">
        <f>C77-H77</f>
        <v>305814327.52</v>
      </c>
      <c r="J77" s="103">
        <v>0</v>
      </c>
      <c r="K77" s="790"/>
      <c r="L77" s="115"/>
      <c r="M77" s="96"/>
      <c r="N77" s="115"/>
      <c r="O77" s="115"/>
    </row>
    <row r="78" spans="1:15" s="128" customFormat="1" ht="18.75" customHeight="1">
      <c r="A78" s="838" t="s">
        <v>45</v>
      </c>
      <c r="B78" s="120"/>
      <c r="C78" s="120"/>
      <c r="D78" s="121"/>
      <c r="E78" s="122"/>
      <c r="F78" s="120"/>
      <c r="G78" s="103"/>
      <c r="H78" s="123"/>
      <c r="I78" s="120"/>
      <c r="J78" s="103"/>
      <c r="K78" s="847"/>
      <c r="L78" s="115"/>
      <c r="M78" s="104"/>
      <c r="N78" s="115"/>
      <c r="O78" s="115"/>
    </row>
    <row r="79" spans="1:15" s="128" customFormat="1" ht="18.75" customHeight="1">
      <c r="A79" s="838" t="s">
        <v>46</v>
      </c>
      <c r="B79" s="120">
        <v>107192347.37</v>
      </c>
      <c r="C79" s="120">
        <f>B79</f>
        <v>107192347.37</v>
      </c>
      <c r="D79" s="121">
        <f>E79</f>
        <v>62729380.7</v>
      </c>
      <c r="E79" s="122">
        <v>62729380.7</v>
      </c>
      <c r="F79" s="120">
        <f t="shared" si="9"/>
        <v>44462966.67</v>
      </c>
      <c r="G79" s="121">
        <f>H79</f>
        <v>11322461.19</v>
      </c>
      <c r="H79" s="123">
        <v>11322461.19</v>
      </c>
      <c r="I79" s="120">
        <f>C79-H79</f>
        <v>95869886.18</v>
      </c>
      <c r="J79" s="103">
        <v>10821748.73</v>
      </c>
      <c r="K79" s="847"/>
      <c r="L79" s="115"/>
      <c r="M79" s="118"/>
      <c r="N79" s="115"/>
      <c r="O79" s="129"/>
    </row>
    <row r="80" spans="1:15" s="128" customFormat="1" ht="18.75" customHeight="1">
      <c r="A80" s="837" t="s">
        <v>47</v>
      </c>
      <c r="B80" s="120">
        <v>86308544</v>
      </c>
      <c r="C80" s="120">
        <f>B80</f>
        <v>86308544</v>
      </c>
      <c r="D80" s="121"/>
      <c r="E80" s="130"/>
      <c r="F80" s="120">
        <f t="shared" si="9"/>
        <v>86308544</v>
      </c>
      <c r="G80" s="103"/>
      <c r="H80" s="126"/>
      <c r="I80" s="120">
        <f>C80-H80</f>
        <v>86308544</v>
      </c>
      <c r="J80" s="103"/>
      <c r="K80" s="847"/>
      <c r="L80" s="115"/>
      <c r="M80" s="118"/>
      <c r="N80" s="115"/>
      <c r="O80" s="115"/>
    </row>
    <row r="81" spans="1:15" s="127" customFormat="1" ht="18.75" customHeight="1">
      <c r="A81" s="985" t="s">
        <v>49</v>
      </c>
      <c r="B81" s="126">
        <v>95845613</v>
      </c>
      <c r="C81" s="116">
        <f>B81</f>
        <v>95845613</v>
      </c>
      <c r="D81" s="121">
        <f>E81</f>
        <v>72056633</v>
      </c>
      <c r="E81" s="122">
        <v>72056633</v>
      </c>
      <c r="F81" s="116">
        <f t="shared" si="9"/>
        <v>23788980</v>
      </c>
      <c r="G81" s="121">
        <f>H81</f>
        <v>10025125.86</v>
      </c>
      <c r="H81" s="123">
        <v>10025125.86</v>
      </c>
      <c r="I81" s="116">
        <f>C81-H81</f>
        <v>85820487.14</v>
      </c>
      <c r="J81" s="131">
        <v>10025125.86</v>
      </c>
      <c r="K81" s="847"/>
      <c r="L81" s="184"/>
      <c r="M81" s="223"/>
      <c r="N81" s="184"/>
      <c r="O81" s="184"/>
    </row>
    <row r="82" spans="1:15" s="133" customFormat="1" ht="18.75" customHeight="1">
      <c r="A82" s="986" t="s">
        <v>741</v>
      </c>
      <c r="B82" s="132">
        <f aca="true" t="shared" si="12" ref="B82:K82">B69+B81</f>
        <v>3501640568.36</v>
      </c>
      <c r="C82" s="132">
        <f t="shared" si="12"/>
        <v>3544468169.4300003</v>
      </c>
      <c r="D82" s="1238">
        <f t="shared" si="12"/>
        <v>2155549306.7799997</v>
      </c>
      <c r="E82" s="132">
        <f t="shared" si="12"/>
        <v>2155549306.7799997</v>
      </c>
      <c r="F82" s="132">
        <f t="shared" si="12"/>
        <v>1388918862.65</v>
      </c>
      <c r="G82" s="132">
        <f t="shared" si="12"/>
        <v>293104108.70000005</v>
      </c>
      <c r="H82" s="937">
        <f t="shared" si="12"/>
        <v>293104108.70000005</v>
      </c>
      <c r="I82" s="132">
        <f t="shared" si="12"/>
        <v>3251364060.7299995</v>
      </c>
      <c r="J82" s="132">
        <f t="shared" si="12"/>
        <v>243453101.72000003</v>
      </c>
      <c r="K82" s="973">
        <f t="shared" si="12"/>
        <v>0</v>
      </c>
      <c r="L82" s="115"/>
      <c r="M82" s="104"/>
      <c r="N82" s="115"/>
      <c r="O82" s="115"/>
    </row>
    <row r="83" spans="1:15" s="133" customFormat="1" ht="18.75" customHeight="1">
      <c r="A83" s="987" t="s">
        <v>226</v>
      </c>
      <c r="B83" s="134">
        <f aca="true" t="shared" si="13" ref="B83:K83">B84+B87</f>
        <v>0</v>
      </c>
      <c r="C83" s="134">
        <f t="shared" si="13"/>
        <v>0</v>
      </c>
      <c r="D83" s="135">
        <f t="shared" si="13"/>
        <v>0</v>
      </c>
      <c r="E83" s="134">
        <f t="shared" si="13"/>
        <v>0</v>
      </c>
      <c r="F83" s="134">
        <f t="shared" si="13"/>
        <v>0</v>
      </c>
      <c r="G83" s="134">
        <f t="shared" si="13"/>
        <v>0</v>
      </c>
      <c r="H83" s="134">
        <f t="shared" si="13"/>
        <v>0</v>
      </c>
      <c r="I83" s="134">
        <f t="shared" si="13"/>
        <v>0</v>
      </c>
      <c r="J83" s="134">
        <f t="shared" si="13"/>
        <v>0</v>
      </c>
      <c r="K83" s="848">
        <f t="shared" si="13"/>
        <v>0</v>
      </c>
      <c r="L83" s="136"/>
      <c r="M83" s="137"/>
      <c r="N83" s="136"/>
      <c r="O83" s="136"/>
    </row>
    <row r="84" spans="1:12" s="133" customFormat="1" ht="18.75" customHeight="1">
      <c r="A84" s="831" t="s">
        <v>50</v>
      </c>
      <c r="B84" s="117">
        <f aca="true" t="shared" si="14" ref="B84:K84">SUM(B85:B86)</f>
        <v>0</v>
      </c>
      <c r="C84" s="117">
        <f t="shared" si="14"/>
        <v>0</v>
      </c>
      <c r="D84" s="138">
        <f t="shared" si="14"/>
        <v>0</v>
      </c>
      <c r="E84" s="117">
        <f t="shared" si="14"/>
        <v>0</v>
      </c>
      <c r="F84" s="117">
        <f t="shared" si="14"/>
        <v>0</v>
      </c>
      <c r="G84" s="117">
        <f t="shared" si="14"/>
        <v>0</v>
      </c>
      <c r="H84" s="117">
        <f t="shared" si="14"/>
        <v>0</v>
      </c>
      <c r="I84" s="117">
        <f t="shared" si="14"/>
        <v>0</v>
      </c>
      <c r="J84" s="117">
        <f t="shared" si="14"/>
        <v>0</v>
      </c>
      <c r="K84" s="846">
        <f t="shared" si="14"/>
        <v>0</v>
      </c>
      <c r="L84" s="136"/>
    </row>
    <row r="85" spans="1:12" s="142" customFormat="1" ht="18.75" customHeight="1">
      <c r="A85" s="839" t="s">
        <v>51</v>
      </c>
      <c r="B85" s="124">
        <v>0</v>
      </c>
      <c r="C85" s="124">
        <v>0</v>
      </c>
      <c r="D85" s="121"/>
      <c r="E85" s="103"/>
      <c r="F85" s="124">
        <v>0</v>
      </c>
      <c r="G85" s="103">
        <f>H85-'[9]Anexo 1 _ BAL ORC'!H85</f>
        <v>0</v>
      </c>
      <c r="H85" s="139"/>
      <c r="I85" s="124"/>
      <c r="J85" s="140"/>
      <c r="K85" s="846">
        <f>(D85-(H85+I85))</f>
        <v>0</v>
      </c>
      <c r="L85" s="141"/>
    </row>
    <row r="86" spans="1:13" s="142" customFormat="1" ht="18.75" customHeight="1">
      <c r="A86" s="839" t="s">
        <v>52</v>
      </c>
      <c r="B86" s="124"/>
      <c r="C86" s="124">
        <v>0</v>
      </c>
      <c r="D86" s="121"/>
      <c r="E86" s="103"/>
      <c r="F86" s="124">
        <v>0</v>
      </c>
      <c r="G86" s="103">
        <f>H86-'[9]Anexo 1 _ BAL ORC'!H86</f>
        <v>0</v>
      </c>
      <c r="H86" s="139"/>
      <c r="I86" s="124"/>
      <c r="J86" s="140"/>
      <c r="K86" s="846">
        <f>(D86-(H86+I86))</f>
        <v>0</v>
      </c>
      <c r="L86" s="141"/>
      <c r="M86" s="143"/>
    </row>
    <row r="87" spans="1:15" s="133" customFormat="1" ht="18.75" customHeight="1">
      <c r="A87" s="831" t="s">
        <v>53</v>
      </c>
      <c r="B87" s="117">
        <f aca="true" t="shared" si="15" ref="B87:K87">SUM(B88:B89)</f>
        <v>0</v>
      </c>
      <c r="C87" s="117">
        <f t="shared" si="15"/>
        <v>0</v>
      </c>
      <c r="D87" s="138">
        <f t="shared" si="15"/>
        <v>0</v>
      </c>
      <c r="E87" s="138">
        <f t="shared" si="15"/>
        <v>0</v>
      </c>
      <c r="F87" s="117">
        <f t="shared" si="15"/>
        <v>0</v>
      </c>
      <c r="G87" s="117">
        <f t="shared" si="15"/>
        <v>0</v>
      </c>
      <c r="H87" s="117">
        <f t="shared" si="15"/>
        <v>0</v>
      </c>
      <c r="I87" s="117">
        <f t="shared" si="15"/>
        <v>0</v>
      </c>
      <c r="J87" s="117">
        <f t="shared" si="15"/>
        <v>0</v>
      </c>
      <c r="K87" s="846">
        <f t="shared" si="15"/>
        <v>0</v>
      </c>
      <c r="L87" s="144"/>
      <c r="M87" s="136"/>
      <c r="N87" s="136"/>
      <c r="O87" s="136"/>
    </row>
    <row r="88" spans="1:15" s="142" customFormat="1" ht="18.75" customHeight="1">
      <c r="A88" s="839" t="s">
        <v>51</v>
      </c>
      <c r="B88" s="124"/>
      <c r="C88" s="124"/>
      <c r="D88" s="121"/>
      <c r="E88" s="103">
        <v>0</v>
      </c>
      <c r="F88" s="124">
        <v>0</v>
      </c>
      <c r="G88" s="103">
        <f>H88-'[9]Anexo 1 _ BAL ORC'!H88</f>
        <v>0</v>
      </c>
      <c r="H88" s="139"/>
      <c r="I88" s="124"/>
      <c r="J88" s="140"/>
      <c r="K88" s="846">
        <f>(D88-(H88+I88))</f>
        <v>0</v>
      </c>
      <c r="L88" s="141"/>
      <c r="M88" s="141"/>
      <c r="N88" s="141"/>
      <c r="O88" s="141"/>
    </row>
    <row r="89" spans="1:15" s="142" customFormat="1" ht="18.75" customHeight="1">
      <c r="A89" s="840" t="s">
        <v>52</v>
      </c>
      <c r="B89" s="145"/>
      <c r="C89" s="145"/>
      <c r="D89" s="146"/>
      <c r="E89" s="103">
        <v>0</v>
      </c>
      <c r="F89" s="145">
        <v>0</v>
      </c>
      <c r="G89" s="103">
        <f>H89-'[9]Anexo 1 _ BAL ORC'!H89</f>
        <v>0</v>
      </c>
      <c r="H89" s="139"/>
      <c r="I89" s="145"/>
      <c r="J89" s="111"/>
      <c r="K89" s="846">
        <f>(D89-(H89+I89))</f>
        <v>0</v>
      </c>
      <c r="L89" s="141"/>
      <c r="M89" s="141"/>
      <c r="N89" s="141"/>
      <c r="O89" s="141"/>
    </row>
    <row r="90" spans="1:12" s="133" customFormat="1" ht="18.75" customHeight="1">
      <c r="A90" s="841" t="s">
        <v>369</v>
      </c>
      <c r="B90" s="147">
        <f aca="true" t="shared" si="16" ref="B90:K90">B82</f>
        <v>3501640568.36</v>
      </c>
      <c r="C90" s="147">
        <f t="shared" si="16"/>
        <v>3544468169.4300003</v>
      </c>
      <c r="D90" s="1239">
        <f t="shared" si="16"/>
        <v>2155549306.7799997</v>
      </c>
      <c r="E90" s="149">
        <f t="shared" si="16"/>
        <v>2155549306.7799997</v>
      </c>
      <c r="F90" s="148">
        <f t="shared" si="16"/>
        <v>1388918862.65</v>
      </c>
      <c r="G90" s="150">
        <f t="shared" si="16"/>
        <v>293104108.70000005</v>
      </c>
      <c r="H90" s="938">
        <f t="shared" si="16"/>
        <v>293104108.70000005</v>
      </c>
      <c r="I90" s="150">
        <f t="shared" si="16"/>
        <v>3251364060.7299995</v>
      </c>
      <c r="J90" s="150">
        <f t="shared" si="16"/>
        <v>243453101.72000003</v>
      </c>
      <c r="K90" s="974">
        <f t="shared" si="16"/>
        <v>0</v>
      </c>
      <c r="L90" s="136"/>
    </row>
    <row r="91" spans="1:12" s="119" customFormat="1" ht="18.75" customHeight="1">
      <c r="A91" s="841" t="s">
        <v>54</v>
      </c>
      <c r="B91" s="151" t="s">
        <v>9</v>
      </c>
      <c r="C91" s="151" t="s">
        <v>9</v>
      </c>
      <c r="D91" s="151" t="s">
        <v>9</v>
      </c>
      <c r="E91" s="152" t="s">
        <v>9</v>
      </c>
      <c r="F91" s="151" t="s">
        <v>9</v>
      </c>
      <c r="G91" s="151">
        <v>0</v>
      </c>
      <c r="H91" s="1241">
        <f>G60-H90-K90</f>
        <v>287407290.8699999</v>
      </c>
      <c r="I91" s="153">
        <v>0</v>
      </c>
      <c r="J91" s="154">
        <v>0</v>
      </c>
      <c r="K91" s="849">
        <v>0</v>
      </c>
      <c r="L91" s="155"/>
    </row>
    <row r="92" spans="1:15" s="127" customFormat="1" ht="18.75" customHeight="1">
      <c r="A92" s="837" t="s">
        <v>55</v>
      </c>
      <c r="B92" s="117">
        <f>B82</f>
        <v>3501640568.36</v>
      </c>
      <c r="C92" s="117">
        <f>C82</f>
        <v>3544468169.4300003</v>
      </c>
      <c r="D92" s="1240">
        <f>D82</f>
        <v>2155549306.7799997</v>
      </c>
      <c r="E92" s="117">
        <f>E82</f>
        <v>2155549306.7799997</v>
      </c>
      <c r="F92" s="911">
        <f>F82</f>
        <v>1388918862.65</v>
      </c>
      <c r="G92" s="117">
        <f>G90+G91</f>
        <v>293104108.70000005</v>
      </c>
      <c r="H92" s="939">
        <f>H91+H90</f>
        <v>580511399.5699999</v>
      </c>
      <c r="I92" s="912">
        <f>I90+I91</f>
        <v>3251364060.7299995</v>
      </c>
      <c r="J92" s="912">
        <f>J90+J91</f>
        <v>243453101.72000003</v>
      </c>
      <c r="K92" s="975">
        <f>K90+K91</f>
        <v>0</v>
      </c>
      <c r="L92" s="156"/>
      <c r="M92" s="157"/>
      <c r="N92" s="157"/>
      <c r="O92" s="157"/>
    </row>
    <row r="93" spans="1:15" s="127" customFormat="1" ht="18.75" customHeight="1">
      <c r="A93" s="907" t="s">
        <v>48</v>
      </c>
      <c r="B93" s="908"/>
      <c r="C93" s="908"/>
      <c r="D93" s="909"/>
      <c r="E93" s="909"/>
      <c r="F93" s="910"/>
      <c r="G93" s="909"/>
      <c r="H93" s="909" t="s">
        <v>524</v>
      </c>
      <c r="I93" s="908"/>
      <c r="J93" s="909"/>
      <c r="K93" s="909"/>
      <c r="L93" s="156"/>
      <c r="M93" s="157"/>
      <c r="N93" s="157"/>
      <c r="O93" s="157"/>
    </row>
    <row r="94" spans="1:15" s="127" customFormat="1" ht="18.75" customHeight="1">
      <c r="A94" s="564" t="s">
        <v>56</v>
      </c>
      <c r="B94" s="98"/>
      <c r="C94" s="98"/>
      <c r="D94" s="98"/>
      <c r="E94" s="98"/>
      <c r="F94" s="98"/>
      <c r="G94" s="98"/>
      <c r="H94" s="98"/>
      <c r="I94" s="98"/>
      <c r="J94" s="159"/>
      <c r="K94" s="98"/>
      <c r="L94" s="156"/>
      <c r="M94" s="157"/>
      <c r="N94" s="157"/>
      <c r="O94" s="157"/>
    </row>
    <row r="95" spans="1:15" s="127" customFormat="1" ht="27.75" customHeight="1">
      <c r="A95" s="1403" t="s">
        <v>57</v>
      </c>
      <c r="B95" s="1403"/>
      <c r="C95" s="1403"/>
      <c r="D95" s="1403"/>
      <c r="E95" s="1403"/>
      <c r="F95" s="1403"/>
      <c r="G95" s="1403"/>
      <c r="H95" s="1403"/>
      <c r="I95" s="1403"/>
      <c r="J95" s="1403"/>
      <c r="K95" s="1403"/>
      <c r="L95" s="156"/>
      <c r="M95" s="157"/>
      <c r="N95" s="157"/>
      <c r="O95" s="157"/>
    </row>
    <row r="96" spans="1:15" s="127" customFormat="1" ht="15.75">
      <c r="A96" s="565" t="s">
        <v>58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56"/>
      <c r="M96" s="157"/>
      <c r="N96" s="157"/>
      <c r="O96" s="157"/>
    </row>
    <row r="97" spans="1:15" s="127" customFormat="1" ht="15.75">
      <c r="A97" s="565" t="s">
        <v>59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57"/>
      <c r="M97" s="157"/>
      <c r="N97" s="157"/>
      <c r="O97" s="157"/>
    </row>
    <row r="98" spans="1:15" s="127" customFormat="1" ht="15.75" customHeight="1">
      <c r="A98" s="15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157"/>
      <c r="M98" s="157"/>
      <c r="N98" s="157"/>
      <c r="O98" s="157"/>
    </row>
    <row r="99" spans="1:15" s="101" customFormat="1" ht="15.75" customHeight="1">
      <c r="A99" s="237" t="s">
        <v>951</v>
      </c>
      <c r="B99" s="238"/>
      <c r="C99" s="239"/>
      <c r="D99" s="239"/>
      <c r="E99" s="239"/>
      <c r="F99" s="240"/>
      <c r="G99" s="241"/>
      <c r="H99" s="241"/>
      <c r="I99" s="241"/>
      <c r="J99" s="242"/>
      <c r="K99" s="242"/>
      <c r="M99" s="96"/>
      <c r="N99" s="96"/>
      <c r="O99" s="96"/>
    </row>
    <row r="100" spans="1:15" s="12" customFormat="1" ht="15.75" customHeight="1">
      <c r="A100" s="88"/>
      <c r="B100" s="88"/>
      <c r="C100" s="88"/>
      <c r="D100" s="88"/>
      <c r="E100" s="89"/>
      <c r="F100" s="90"/>
      <c r="G100" s="2"/>
      <c r="H100" s="2"/>
      <c r="I100" s="2"/>
      <c r="J100" s="89"/>
      <c r="K100" s="91"/>
      <c r="M100" s="11"/>
      <c r="N100" s="11"/>
      <c r="O100" s="11"/>
    </row>
    <row r="101" spans="1:21" s="58" customFormat="1" ht="11.2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M101" s="59"/>
      <c r="N101" s="59"/>
      <c r="O101" s="59"/>
      <c r="U101" s="59"/>
    </row>
    <row r="102" spans="6:11" ht="15.75" customHeight="1">
      <c r="F102" s="16"/>
      <c r="G102" s="16"/>
      <c r="H102" s="16"/>
      <c r="I102" s="16"/>
      <c r="J102" s="16"/>
      <c r="K102" s="16"/>
    </row>
    <row r="103" spans="6:11" ht="15.75" customHeight="1">
      <c r="F103" s="16"/>
      <c r="G103" s="16"/>
      <c r="H103" s="16"/>
      <c r="I103" s="16"/>
      <c r="J103" s="16"/>
      <c r="K103" s="16"/>
    </row>
    <row r="104" spans="6:11" ht="15.75" customHeight="1">
      <c r="F104" s="16"/>
      <c r="G104" s="16"/>
      <c r="H104" s="16"/>
      <c r="I104" s="16"/>
      <c r="J104" s="16"/>
      <c r="K104" s="16"/>
    </row>
    <row r="105" spans="6:11" ht="15.75" customHeight="1">
      <c r="F105" s="16"/>
      <c r="G105" s="16"/>
      <c r="H105" s="16"/>
      <c r="I105" s="16"/>
      <c r="J105" s="16"/>
      <c r="K105" s="16"/>
    </row>
    <row r="107" ht="15.75" customHeight="1">
      <c r="L107" s="93"/>
    </row>
  </sheetData>
  <sheetProtection/>
  <mergeCells count="125">
    <mergeCell ref="D29:E29"/>
    <mergeCell ref="D23:E23"/>
    <mergeCell ref="G23:I23"/>
    <mergeCell ref="G59:I59"/>
    <mergeCell ref="G2:H2"/>
    <mergeCell ref="J65:J67"/>
    <mergeCell ref="I65:I67"/>
    <mergeCell ref="D65:E65"/>
    <mergeCell ref="F65:F67"/>
    <mergeCell ref="G65:H66"/>
    <mergeCell ref="G67:G68"/>
    <mergeCell ref="D9:E9"/>
    <mergeCell ref="G9:I9"/>
    <mergeCell ref="D10:E10"/>
    <mergeCell ref="G10:I10"/>
    <mergeCell ref="D11:E11"/>
    <mergeCell ref="G11:I11"/>
    <mergeCell ref="D12:E12"/>
    <mergeCell ref="G12:I12"/>
    <mergeCell ref="D13:E13"/>
    <mergeCell ref="G13:I13"/>
    <mergeCell ref="D14:E14"/>
    <mergeCell ref="G14:I14"/>
    <mergeCell ref="D15:E15"/>
    <mergeCell ref="G15:I15"/>
    <mergeCell ref="D16:E16"/>
    <mergeCell ref="G16:I16"/>
    <mergeCell ref="G22:I22"/>
    <mergeCell ref="D24:E24"/>
    <mergeCell ref="G24:I24"/>
    <mergeCell ref="D25:E25"/>
    <mergeCell ref="D17:E17"/>
    <mergeCell ref="G17:I17"/>
    <mergeCell ref="D18:E18"/>
    <mergeCell ref="G18:I18"/>
    <mergeCell ref="D19:E19"/>
    <mergeCell ref="G19:I19"/>
    <mergeCell ref="D28:E28"/>
    <mergeCell ref="G28:I28"/>
    <mergeCell ref="D30:E30"/>
    <mergeCell ref="G30:I30"/>
    <mergeCell ref="D20:E20"/>
    <mergeCell ref="G20:I20"/>
    <mergeCell ref="G26:I26"/>
    <mergeCell ref="D21:E21"/>
    <mergeCell ref="G21:I21"/>
    <mergeCell ref="D22:E22"/>
    <mergeCell ref="D26:E26"/>
    <mergeCell ref="D36:E36"/>
    <mergeCell ref="G36:I36"/>
    <mergeCell ref="D37:E37"/>
    <mergeCell ref="G37:I37"/>
    <mergeCell ref="G35:I35"/>
    <mergeCell ref="D31:E31"/>
    <mergeCell ref="G31:I31"/>
    <mergeCell ref="G29:I29"/>
    <mergeCell ref="G27:I27"/>
    <mergeCell ref="D38:E38"/>
    <mergeCell ref="G38:I38"/>
    <mergeCell ref="D39:E39"/>
    <mergeCell ref="G39:I39"/>
    <mergeCell ref="D40:E40"/>
    <mergeCell ref="G40:I40"/>
    <mergeCell ref="D41:E41"/>
    <mergeCell ref="G41:I41"/>
    <mergeCell ref="D42:E42"/>
    <mergeCell ref="G42:I42"/>
    <mergeCell ref="D44:E44"/>
    <mergeCell ref="G44:I44"/>
    <mergeCell ref="D43:E43"/>
    <mergeCell ref="G43:I43"/>
    <mergeCell ref="D45:E45"/>
    <mergeCell ref="G45:I45"/>
    <mergeCell ref="D46:E46"/>
    <mergeCell ref="G46:I46"/>
    <mergeCell ref="D47:E47"/>
    <mergeCell ref="G47:I47"/>
    <mergeCell ref="D51:E51"/>
    <mergeCell ref="D52:E52"/>
    <mergeCell ref="D48:E48"/>
    <mergeCell ref="G48:I48"/>
    <mergeCell ref="D49:E49"/>
    <mergeCell ref="G49:I49"/>
    <mergeCell ref="D50:E50"/>
    <mergeCell ref="G50:I50"/>
    <mergeCell ref="A95:K95"/>
    <mergeCell ref="K65:K67"/>
    <mergeCell ref="D60:E60"/>
    <mergeCell ref="G60:I60"/>
    <mergeCell ref="D63:E63"/>
    <mergeCell ref="G56:I56"/>
    <mergeCell ref="G57:I57"/>
    <mergeCell ref="D58:E58"/>
    <mergeCell ref="G58:I58"/>
    <mergeCell ref="D56:E56"/>
    <mergeCell ref="A8:A9"/>
    <mergeCell ref="B8:B9"/>
    <mergeCell ref="C8:C9"/>
    <mergeCell ref="D8:J8"/>
    <mergeCell ref="D59:E59"/>
    <mergeCell ref="D57:E57"/>
    <mergeCell ref="D55:E55"/>
    <mergeCell ref="G51:I51"/>
    <mergeCell ref="G52:I52"/>
    <mergeCell ref="G53:I53"/>
    <mergeCell ref="D32:E32"/>
    <mergeCell ref="G32:I32"/>
    <mergeCell ref="D27:E27"/>
    <mergeCell ref="G25:I25"/>
    <mergeCell ref="A34:A35"/>
    <mergeCell ref="G63:I63"/>
    <mergeCell ref="G55:I55"/>
    <mergeCell ref="G54:I54"/>
    <mergeCell ref="D53:E53"/>
    <mergeCell ref="D54:E54"/>
    <mergeCell ref="D61:E61"/>
    <mergeCell ref="D62:E62"/>
    <mergeCell ref="G61:I61"/>
    <mergeCell ref="G62:I62"/>
    <mergeCell ref="K8:K9"/>
    <mergeCell ref="B34:B35"/>
    <mergeCell ref="C34:C35"/>
    <mergeCell ref="D34:J34"/>
    <mergeCell ref="K34:K35"/>
    <mergeCell ref="D35:E35"/>
  </mergeCells>
  <printOptions horizontalCentered="1"/>
  <pageMargins left="0" right="0" top="0.7874015748031497" bottom="0.3937007874015748" header="0.5118110236220472" footer="0.5118110236220472"/>
  <pageSetup fitToHeight="0" horizontalDpi="600" verticalDpi="600" orientation="landscape" paperSize="9" scale="59" r:id="rId4"/>
  <headerFooter scaleWithDoc="0">
    <oddFooter>&amp;L&amp;8Publicação: Diário Oficial do Município nº 58
Data: 24.03.2021
&amp;R&amp;8&amp;P / &amp;N</oddFooter>
  </headerFooter>
  <rowBreaks count="2" manualBreakCount="2">
    <brk id="33" max="10" man="1"/>
    <brk id="64" max="10" man="1"/>
  </rowBreaks>
  <ignoredErrors>
    <ignoredError sqref="D18 D76:F76 C15 G76:H76 F11 D55 K87 I76 I71 K40 K44 K47 K18 K15 K76 H92" 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M39"/>
  <sheetViews>
    <sheetView showGridLines="0" view="pageBreakPreview" zoomScale="86" zoomScaleSheetLayoutView="86" zoomScalePageLayoutView="0" workbookViewId="0" topLeftCell="A19">
      <selection activeCell="A36" sqref="A36"/>
    </sheetView>
  </sheetViews>
  <sheetFormatPr defaultColWidth="7.8515625" defaultRowHeight="15" customHeight="1"/>
  <cols>
    <col min="1" max="1" width="58.8515625" style="436" customWidth="1"/>
    <col min="2" max="2" width="23.8515625" style="436" customWidth="1"/>
    <col min="3" max="3" width="26.140625" style="436" customWidth="1"/>
    <col min="4" max="4" width="11.140625" style="434" customWidth="1"/>
    <col min="5" max="5" width="10.57421875" style="434" customWidth="1"/>
    <col min="6" max="6" width="10.140625" style="516" customWidth="1"/>
    <col min="7" max="11" width="12.7109375" style="436" customWidth="1"/>
    <col min="12" max="12" width="12.7109375" style="434" customWidth="1"/>
    <col min="13" max="13" width="7.8515625" style="434" customWidth="1"/>
    <col min="14" max="16384" width="7.8515625" style="436" customWidth="1"/>
  </cols>
  <sheetData>
    <row r="1" spans="1:13" s="401" customFormat="1" ht="15" customHeight="1">
      <c r="A1" s="1673" t="s">
        <v>162</v>
      </c>
      <c r="B1" s="1673"/>
      <c r="C1" s="1673"/>
      <c r="D1" s="1673"/>
      <c r="E1" s="1673"/>
      <c r="F1" s="402"/>
      <c r="L1" s="403"/>
      <c r="M1" s="403"/>
    </row>
    <row r="2" spans="1:13" s="401" customFormat="1" ht="15" customHeight="1">
      <c r="A2" s="1673" t="s">
        <v>0</v>
      </c>
      <c r="B2" s="1673"/>
      <c r="C2" s="1673"/>
      <c r="D2" s="1673"/>
      <c r="E2" s="1673"/>
      <c r="F2" s="402"/>
      <c r="L2" s="403"/>
      <c r="M2" s="403"/>
    </row>
    <row r="3" spans="1:13" s="401" customFormat="1" ht="15" customHeight="1">
      <c r="A3" s="73" t="s">
        <v>229</v>
      </c>
      <c r="B3" s="404"/>
      <c r="C3" s="404"/>
      <c r="E3" s="366"/>
      <c r="F3" s="402"/>
      <c r="G3" s="1624"/>
      <c r="H3" s="1624"/>
      <c r="I3" s="1624"/>
      <c r="J3" s="1624"/>
      <c r="K3" s="1624"/>
      <c r="L3" s="403"/>
      <c r="M3" s="403"/>
    </row>
    <row r="4" spans="1:13" s="401" customFormat="1" ht="15" customHeight="1">
      <c r="A4" s="73" t="s">
        <v>1</v>
      </c>
      <c r="B4" s="375"/>
      <c r="C4" s="375"/>
      <c r="E4" s="366"/>
      <c r="F4" s="402"/>
      <c r="G4" s="512"/>
      <c r="L4" s="403"/>
      <c r="M4" s="403"/>
    </row>
    <row r="5" spans="1:13" s="347" customFormat="1" ht="15.75" customHeight="1">
      <c r="A5" s="73" t="str">
        <f>'Anexo 1 _ BAL ORC'!A5</f>
        <v>            Referência: JANEIRO-FEVEREIRO/2021; BIMESTRE: JANEIRO-FEVEREIRO/2021</v>
      </c>
      <c r="B5" s="350"/>
      <c r="C5" s="350"/>
      <c r="D5" s="350"/>
      <c r="E5" s="406"/>
      <c r="F5" s="407"/>
      <c r="L5" s="374"/>
      <c r="M5" s="374"/>
    </row>
    <row r="6" spans="1:5" ht="15" customHeight="1">
      <c r="A6" s="513"/>
      <c r="B6" s="513"/>
      <c r="C6" s="513"/>
      <c r="D6" s="514"/>
      <c r="E6" s="515"/>
    </row>
    <row r="7" spans="1:12" ht="15" customHeight="1">
      <c r="A7" s="517" t="s">
        <v>249</v>
      </c>
      <c r="B7" s="518"/>
      <c r="C7" s="518"/>
      <c r="D7" s="519"/>
      <c r="E7" s="520"/>
      <c r="F7" s="518"/>
      <c r="G7" s="521"/>
      <c r="H7" s="521"/>
      <c r="I7" s="521"/>
      <c r="J7" s="521"/>
      <c r="K7" s="521"/>
      <c r="L7" s="521"/>
    </row>
    <row r="8" spans="1:12" ht="39.75" customHeight="1">
      <c r="A8" s="2138" t="s">
        <v>345</v>
      </c>
      <c r="B8" s="2139"/>
      <c r="C8" s="2146" t="s">
        <v>347</v>
      </c>
      <c r="D8" s="2147"/>
      <c r="E8" s="2147"/>
      <c r="F8" s="2148"/>
      <c r="G8" s="2143" t="s">
        <v>346</v>
      </c>
      <c r="H8" s="2144"/>
      <c r="I8" s="2144"/>
      <c r="J8" s="2144"/>
      <c r="K8" s="2144"/>
      <c r="L8" s="2145"/>
    </row>
    <row r="9" spans="1:12" ht="33" customHeight="1">
      <c r="A9" s="2140"/>
      <c r="B9" s="2141"/>
      <c r="C9" s="2149"/>
      <c r="D9" s="2150"/>
      <c r="E9" s="2150"/>
      <c r="F9" s="2151"/>
      <c r="G9" s="2142" t="s">
        <v>62</v>
      </c>
      <c r="H9" s="2142"/>
      <c r="I9" s="2142"/>
      <c r="J9" s="2142" t="s">
        <v>290</v>
      </c>
      <c r="K9" s="2142"/>
      <c r="L9" s="2142"/>
    </row>
    <row r="10" spans="1:12" ht="15" customHeight="1">
      <c r="A10" s="2134" t="s">
        <v>230</v>
      </c>
      <c r="B10" s="2135"/>
      <c r="C10" s="2129">
        <f>C11+C12+C13</f>
        <v>0</v>
      </c>
      <c r="D10" s="2130"/>
      <c r="E10" s="2130"/>
      <c r="F10" s="2131"/>
      <c r="G10" s="2115">
        <f>G11+G12+G13</f>
        <v>0</v>
      </c>
      <c r="H10" s="2116"/>
      <c r="I10" s="2116"/>
      <c r="J10" s="2115">
        <f>J11+J12+J13</f>
        <v>0</v>
      </c>
      <c r="K10" s="2116"/>
      <c r="L10" s="2117"/>
    </row>
    <row r="11" spans="1:12" ht="15" customHeight="1">
      <c r="A11" s="2123"/>
      <c r="B11" s="2128"/>
      <c r="C11" s="2100"/>
      <c r="D11" s="2101"/>
      <c r="E11" s="2101"/>
      <c r="F11" s="2102"/>
      <c r="G11" s="2136"/>
      <c r="H11" s="2137"/>
      <c r="I11" s="2137"/>
      <c r="J11" s="2105"/>
      <c r="K11" s="2106"/>
      <c r="L11" s="2107"/>
    </row>
    <row r="12" spans="1:12" ht="15" customHeight="1">
      <c r="A12" s="2123" t="s">
        <v>473</v>
      </c>
      <c r="B12" s="2128"/>
      <c r="C12" s="2100"/>
      <c r="D12" s="2101"/>
      <c r="E12" s="2101"/>
      <c r="F12" s="2102"/>
      <c r="G12" s="2136"/>
      <c r="H12" s="2137"/>
      <c r="I12" s="2137"/>
      <c r="J12" s="2105"/>
      <c r="K12" s="2106"/>
      <c r="L12" s="2107"/>
    </row>
    <row r="13" spans="1:12" ht="15" customHeight="1">
      <c r="A13" s="2118"/>
      <c r="B13" s="2119"/>
      <c r="C13" s="2125"/>
      <c r="D13" s="2126"/>
      <c r="E13" s="2126"/>
      <c r="F13" s="2127"/>
      <c r="G13" s="2132"/>
      <c r="H13" s="2133"/>
      <c r="I13" s="2133"/>
      <c r="J13" s="2120"/>
      <c r="K13" s="2121"/>
      <c r="L13" s="2122"/>
    </row>
    <row r="14" spans="1:12" ht="15" customHeight="1">
      <c r="A14" s="2134" t="s">
        <v>348</v>
      </c>
      <c r="B14" s="2135"/>
      <c r="C14" s="2129">
        <f>C15+C16+C17</f>
        <v>0</v>
      </c>
      <c r="D14" s="2130"/>
      <c r="E14" s="2130"/>
      <c r="F14" s="2131"/>
      <c r="G14" s="2115">
        <f>G15+G16+G17</f>
        <v>0</v>
      </c>
      <c r="H14" s="2116"/>
      <c r="I14" s="2117"/>
      <c r="J14" s="2105">
        <f>J15+J16+J17</f>
        <v>0</v>
      </c>
      <c r="K14" s="2106"/>
      <c r="L14" s="2107"/>
    </row>
    <row r="15" spans="1:12" ht="15" customHeight="1">
      <c r="A15" s="2123" t="s">
        <v>349</v>
      </c>
      <c r="B15" s="2128"/>
      <c r="C15" s="2100"/>
      <c r="D15" s="2101"/>
      <c r="E15" s="2101"/>
      <c r="F15" s="2102"/>
      <c r="G15" s="2105"/>
      <c r="H15" s="2106"/>
      <c r="I15" s="2107"/>
      <c r="J15" s="2105"/>
      <c r="K15" s="2106"/>
      <c r="L15" s="2107"/>
    </row>
    <row r="16" spans="1:12" ht="15" customHeight="1">
      <c r="A16" s="2123" t="s">
        <v>231</v>
      </c>
      <c r="B16" s="2124"/>
      <c r="C16" s="2101"/>
      <c r="D16" s="2101"/>
      <c r="E16" s="2101"/>
      <c r="F16" s="2102"/>
      <c r="G16" s="2105"/>
      <c r="H16" s="2106"/>
      <c r="I16" s="2107"/>
      <c r="J16" s="2105"/>
      <c r="K16" s="2106"/>
      <c r="L16" s="2107"/>
    </row>
    <row r="17" spans="1:12" ht="15" customHeight="1">
      <c r="A17" s="2118" t="s">
        <v>350</v>
      </c>
      <c r="B17" s="2119"/>
      <c r="C17" s="2125"/>
      <c r="D17" s="2126"/>
      <c r="E17" s="2126"/>
      <c r="F17" s="2127"/>
      <c r="G17" s="2120"/>
      <c r="H17" s="2121"/>
      <c r="I17" s="2122"/>
      <c r="J17" s="2105"/>
      <c r="K17" s="2106"/>
      <c r="L17" s="2107"/>
    </row>
    <row r="18" spans="1:12" ht="19.5" customHeight="1">
      <c r="A18" s="780" t="s">
        <v>351</v>
      </c>
      <c r="B18" s="435"/>
      <c r="C18" s="2129">
        <f>C19+C20+C21+C22</f>
        <v>0</v>
      </c>
      <c r="D18" s="2130"/>
      <c r="E18" s="2130"/>
      <c r="F18" s="2131"/>
      <c r="G18" s="2115">
        <f>G19+G20+G21+G22</f>
        <v>0</v>
      </c>
      <c r="H18" s="2116"/>
      <c r="I18" s="2117"/>
      <c r="J18" s="2115">
        <f>J19+J20+J21+J22</f>
        <v>0</v>
      </c>
      <c r="K18" s="2116"/>
      <c r="L18" s="2117"/>
    </row>
    <row r="19" spans="1:12" ht="15" customHeight="1">
      <c r="A19" s="780" t="s">
        <v>474</v>
      </c>
      <c r="B19" s="435"/>
      <c r="C19" s="2100"/>
      <c r="D19" s="2101"/>
      <c r="E19" s="2101"/>
      <c r="F19" s="2102"/>
      <c r="G19" s="2105"/>
      <c r="H19" s="2106"/>
      <c r="I19" s="2107"/>
      <c r="J19" s="2105"/>
      <c r="K19" s="2106"/>
      <c r="L19" s="2107"/>
    </row>
    <row r="20" spans="1:12" ht="15" customHeight="1">
      <c r="A20" s="780" t="s">
        <v>475</v>
      </c>
      <c r="B20" s="435"/>
      <c r="C20" s="738"/>
      <c r="D20" s="739"/>
      <c r="E20" s="739"/>
      <c r="F20" s="740"/>
      <c r="G20" s="2105"/>
      <c r="H20" s="2106"/>
      <c r="I20" s="2107"/>
      <c r="J20" s="2105"/>
      <c r="K20" s="2106"/>
      <c r="L20" s="2107"/>
    </row>
    <row r="21" spans="1:12" ht="15" customHeight="1">
      <c r="A21" s="780" t="s">
        <v>477</v>
      </c>
      <c r="B21" s="435"/>
      <c r="C21" s="2100"/>
      <c r="D21" s="2101"/>
      <c r="E21" s="2101"/>
      <c r="F21" s="2102"/>
      <c r="G21" s="2105"/>
      <c r="H21" s="2106"/>
      <c r="I21" s="2107"/>
      <c r="J21" s="2105"/>
      <c r="K21" s="2106"/>
      <c r="L21" s="2107"/>
    </row>
    <row r="22" spans="1:12" ht="15" customHeight="1">
      <c r="A22" s="2108" t="s">
        <v>476</v>
      </c>
      <c r="B22" s="2109"/>
      <c r="C22" s="2152"/>
      <c r="D22" s="2153"/>
      <c r="E22" s="2153"/>
      <c r="F22" s="2154"/>
      <c r="G22" s="2105"/>
      <c r="H22" s="2106"/>
      <c r="I22" s="2107"/>
      <c r="J22" s="2105"/>
      <c r="K22" s="2106"/>
      <c r="L22" s="2107"/>
    </row>
    <row r="23" spans="1:12" ht="15" customHeight="1">
      <c r="A23" s="2110" t="s">
        <v>232</v>
      </c>
      <c r="B23" s="2111" t="s">
        <v>227</v>
      </c>
      <c r="C23" s="2113" t="s">
        <v>352</v>
      </c>
      <c r="D23" s="2103" t="s">
        <v>233</v>
      </c>
      <c r="E23" s="2103" t="s">
        <v>234</v>
      </c>
      <c r="F23" s="2103" t="s">
        <v>235</v>
      </c>
      <c r="G23" s="2103" t="s">
        <v>236</v>
      </c>
      <c r="H23" s="2103" t="s">
        <v>237</v>
      </c>
      <c r="I23" s="2103" t="s">
        <v>238</v>
      </c>
      <c r="J23" s="2103" t="s">
        <v>239</v>
      </c>
      <c r="K23" s="2103" t="s">
        <v>240</v>
      </c>
      <c r="L23" s="2103" t="s">
        <v>241</v>
      </c>
    </row>
    <row r="24" spans="1:12" ht="24" customHeight="1">
      <c r="A24" s="2110"/>
      <c r="B24" s="2112"/>
      <c r="C24" s="2114"/>
      <c r="D24" s="2104"/>
      <c r="E24" s="2104"/>
      <c r="F24" s="2104"/>
      <c r="G24" s="2104"/>
      <c r="H24" s="2104"/>
      <c r="I24" s="2104"/>
      <c r="J24" s="2104"/>
      <c r="K24" s="2104"/>
      <c r="L24" s="2104"/>
    </row>
    <row r="25" spans="1:13" s="1131" customFormat="1" ht="42" customHeight="1">
      <c r="A25" s="1132" t="s">
        <v>676</v>
      </c>
      <c r="B25" s="1133"/>
      <c r="C25" s="1133"/>
      <c r="D25" s="1133"/>
      <c r="E25" s="1134"/>
      <c r="F25" s="1135"/>
      <c r="G25" s="1136"/>
      <c r="H25" s="1137"/>
      <c r="I25" s="1138"/>
      <c r="J25" s="1136"/>
      <c r="K25" s="1138"/>
      <c r="L25" s="1136"/>
      <c r="M25" s="1130"/>
    </row>
    <row r="26" spans="1:12" ht="24.75" customHeight="1">
      <c r="A26" s="893" t="s">
        <v>677</v>
      </c>
      <c r="B26" s="525"/>
      <c r="C26" s="525"/>
      <c r="D26" s="525"/>
      <c r="E26" s="526"/>
      <c r="F26" s="522"/>
      <c r="G26" s="527"/>
      <c r="H26" s="524"/>
      <c r="I26" s="523"/>
      <c r="J26" s="527"/>
      <c r="K26" s="523"/>
      <c r="L26" s="527"/>
    </row>
    <row r="27" spans="1:12" ht="24.75" customHeight="1">
      <c r="A27" s="893" t="s">
        <v>678</v>
      </c>
      <c r="B27" s="525"/>
      <c r="C27" s="525"/>
      <c r="D27" s="525"/>
      <c r="E27" s="526"/>
      <c r="F27" s="522"/>
      <c r="G27" s="527"/>
      <c r="H27" s="524"/>
      <c r="I27" s="523"/>
      <c r="J27" s="527"/>
      <c r="K27" s="523"/>
      <c r="L27" s="527"/>
    </row>
    <row r="28" spans="1:13" s="1131" customFormat="1" ht="39.75" customHeight="1">
      <c r="A28" s="1139" t="s">
        <v>685</v>
      </c>
      <c r="B28" s="528"/>
      <c r="C28" s="528"/>
      <c r="D28" s="528"/>
      <c r="E28" s="531"/>
      <c r="F28" s="1002"/>
      <c r="G28" s="1127"/>
      <c r="H28" s="1128"/>
      <c r="I28" s="1129"/>
      <c r="J28" s="1127"/>
      <c r="K28" s="1129"/>
      <c r="L28" s="1127"/>
      <c r="M28" s="1130"/>
    </row>
    <row r="29" spans="1:12" ht="24.75" customHeight="1">
      <c r="A29" s="893" t="s">
        <v>679</v>
      </c>
      <c r="B29" s="525"/>
      <c r="C29" s="525"/>
      <c r="D29" s="525"/>
      <c r="E29" s="526"/>
      <c r="F29" s="522"/>
      <c r="G29" s="527"/>
      <c r="H29" s="524"/>
      <c r="I29" s="523"/>
      <c r="J29" s="527"/>
      <c r="K29" s="523"/>
      <c r="L29" s="527"/>
    </row>
    <row r="30" spans="1:12" ht="24.75" customHeight="1">
      <c r="A30" s="893" t="s">
        <v>680</v>
      </c>
      <c r="B30" s="525"/>
      <c r="C30" s="525"/>
      <c r="D30" s="525"/>
      <c r="E30" s="526"/>
      <c r="F30" s="522"/>
      <c r="G30" s="527"/>
      <c r="H30" s="524"/>
      <c r="I30" s="523"/>
      <c r="J30" s="527"/>
      <c r="K30" s="523"/>
      <c r="L30" s="527"/>
    </row>
    <row r="31" spans="1:12" ht="24.75" customHeight="1">
      <c r="A31" s="1140" t="s">
        <v>682</v>
      </c>
      <c r="B31" s="1141"/>
      <c r="C31" s="1141"/>
      <c r="D31" s="1141"/>
      <c r="E31" s="1142"/>
      <c r="F31" s="733"/>
      <c r="G31" s="527"/>
      <c r="H31" s="1143"/>
      <c r="I31" s="527"/>
      <c r="J31" s="527"/>
      <c r="K31" s="527"/>
      <c r="L31" s="527"/>
    </row>
    <row r="32" spans="1:12" ht="24.75" customHeight="1">
      <c r="A32" s="894" t="s">
        <v>681</v>
      </c>
      <c r="B32" s="529">
        <v>3035958378.91</v>
      </c>
      <c r="C32" s="528">
        <f>'Anexo 3 _ RCL'!P36</f>
        <v>3314778281.0800004</v>
      </c>
      <c r="D32" s="530"/>
      <c r="E32" s="531"/>
      <c r="F32" s="522"/>
      <c r="G32" s="527"/>
      <c r="H32" s="524"/>
      <c r="I32" s="523"/>
      <c r="J32" s="527"/>
      <c r="K32" s="523"/>
      <c r="L32" s="527"/>
    </row>
    <row r="33" spans="1:12" ht="42" customHeight="1">
      <c r="A33" s="734" t="s">
        <v>683</v>
      </c>
      <c r="B33" s="735"/>
      <c r="C33" s="736"/>
      <c r="D33" s="735"/>
      <c r="E33" s="735"/>
      <c r="F33" s="733"/>
      <c r="G33" s="527"/>
      <c r="H33" s="527"/>
      <c r="I33" s="527"/>
      <c r="J33" s="527"/>
      <c r="K33" s="527"/>
      <c r="L33" s="527"/>
    </row>
    <row r="34" spans="1:12" ht="39.75" customHeight="1">
      <c r="A34" s="734" t="s">
        <v>684</v>
      </c>
      <c r="B34" s="735"/>
      <c r="C34" s="736"/>
      <c r="D34" s="735"/>
      <c r="E34" s="735"/>
      <c r="F34" s="733"/>
      <c r="G34" s="527"/>
      <c r="H34" s="527"/>
      <c r="I34" s="527"/>
      <c r="J34" s="527"/>
      <c r="K34" s="527"/>
      <c r="L34" s="527"/>
    </row>
    <row r="35" spans="1:13" s="401" customFormat="1" ht="15" customHeight="1">
      <c r="A35" s="366" t="str">
        <f>'[8]Anexo VI _ RES NOM'!A44</f>
        <v>FONTE: SECRETARIA MUNICIPAL DA FAZENDA</v>
      </c>
      <c r="B35" s="532"/>
      <c r="C35" s="532"/>
      <c r="D35" s="365"/>
      <c r="E35" s="365"/>
      <c r="F35" s="402"/>
      <c r="L35" s="403"/>
      <c r="M35" s="403"/>
    </row>
    <row r="36" spans="1:13" s="401" customFormat="1" ht="15" customHeight="1">
      <c r="A36" s="366" t="str">
        <f>'Anexo 1 _ BAL ORC'!A99</f>
        <v>  São Luís, 24 de março de 2021</v>
      </c>
      <c r="B36" s="532"/>
      <c r="C36" s="532"/>
      <c r="D36" s="365"/>
      <c r="E36" s="365"/>
      <c r="F36" s="402"/>
      <c r="K36" s="533"/>
      <c r="L36" s="403"/>
      <c r="M36" s="403"/>
    </row>
    <row r="37" spans="1:13" s="401" customFormat="1" ht="15" customHeight="1">
      <c r="A37" s="366"/>
      <c r="B37" s="532"/>
      <c r="C37" s="532"/>
      <c r="D37" s="365"/>
      <c r="E37" s="365"/>
      <c r="F37" s="402"/>
      <c r="K37" s="533"/>
      <c r="L37" s="403"/>
      <c r="M37" s="403"/>
    </row>
    <row r="38" spans="1:13" s="401" customFormat="1" ht="15" customHeight="1">
      <c r="A38" s="534"/>
      <c r="B38" s="535"/>
      <c r="C38" s="536"/>
      <c r="D38" s="536"/>
      <c r="E38" s="537"/>
      <c r="F38" s="402"/>
      <c r="L38" s="403"/>
      <c r="M38" s="403"/>
    </row>
    <row r="39" spans="1:13" s="402" customFormat="1" ht="12.75" customHeight="1">
      <c r="A39" s="246"/>
      <c r="B39" s="247"/>
      <c r="C39" s="247"/>
      <c r="D39" s="247"/>
      <c r="E39" s="246"/>
      <c r="L39" s="243"/>
      <c r="M39" s="243"/>
    </row>
  </sheetData>
  <sheetProtection/>
  <mergeCells count="67">
    <mergeCell ref="C18:F18"/>
    <mergeCell ref="G8:L8"/>
    <mergeCell ref="C8:F9"/>
    <mergeCell ref="C22:F22"/>
    <mergeCell ref="J11:L11"/>
    <mergeCell ref="C19:F19"/>
    <mergeCell ref="J9:L9"/>
    <mergeCell ref="C11:F11"/>
    <mergeCell ref="C14:F14"/>
    <mergeCell ref="C15:F15"/>
    <mergeCell ref="A1:E1"/>
    <mergeCell ref="A2:E2"/>
    <mergeCell ref="G3:K3"/>
    <mergeCell ref="A8:B9"/>
    <mergeCell ref="G9:I9"/>
    <mergeCell ref="G20:I20"/>
    <mergeCell ref="J20:L20"/>
    <mergeCell ref="J10:L10"/>
    <mergeCell ref="A11:B11"/>
    <mergeCell ref="G11:I11"/>
    <mergeCell ref="A12:B12"/>
    <mergeCell ref="G12:I12"/>
    <mergeCell ref="J12:L12"/>
    <mergeCell ref="A14:B14"/>
    <mergeCell ref="G14:I14"/>
    <mergeCell ref="J14:L14"/>
    <mergeCell ref="C13:F13"/>
    <mergeCell ref="G15:I15"/>
    <mergeCell ref="J15:L15"/>
    <mergeCell ref="A15:B15"/>
    <mergeCell ref="C10:F10"/>
    <mergeCell ref="C12:F12"/>
    <mergeCell ref="A13:B13"/>
    <mergeCell ref="G13:I13"/>
    <mergeCell ref="J13:L13"/>
    <mergeCell ref="A10:B10"/>
    <mergeCell ref="G10:I10"/>
    <mergeCell ref="G16:I16"/>
    <mergeCell ref="J16:L16"/>
    <mergeCell ref="A17:B17"/>
    <mergeCell ref="G17:I17"/>
    <mergeCell ref="J17:L17"/>
    <mergeCell ref="A16:B16"/>
    <mergeCell ref="C16:F16"/>
    <mergeCell ref="C17:F17"/>
    <mergeCell ref="G18:I18"/>
    <mergeCell ref="J18:L18"/>
    <mergeCell ref="G19:I19"/>
    <mergeCell ref="J19:L19"/>
    <mergeCell ref="J21:L21"/>
    <mergeCell ref="H23:H24"/>
    <mergeCell ref="J23:J24"/>
    <mergeCell ref="I23:I24"/>
    <mergeCell ref="G21:I21"/>
    <mergeCell ref="A22:B22"/>
    <mergeCell ref="A23:A24"/>
    <mergeCell ref="B23:B24"/>
    <mergeCell ref="C23:C24"/>
    <mergeCell ref="D23:D24"/>
    <mergeCell ref="E23:E24"/>
    <mergeCell ref="C21:F21"/>
    <mergeCell ref="K23:K24"/>
    <mergeCell ref="L23:L24"/>
    <mergeCell ref="G22:I22"/>
    <mergeCell ref="J22:L22"/>
    <mergeCell ref="F23:F24"/>
    <mergeCell ref="G23:G24"/>
  </mergeCells>
  <printOptions horizontalCentered="1"/>
  <pageMargins left="0.15748031496062992" right="0.15748031496062992" top="0.4330708661417323" bottom="0.3937007874015748" header="0.2755905511811024" footer="0.3937007874015748"/>
  <pageSetup horizontalDpi="600" verticalDpi="600" orientation="landscape" paperSize="9" scale="59" r:id="rId2"/>
  <headerFooter scaleWithDoc="0">
    <oddFooter>&amp;L&amp;8Publicação: Diário Oficial do Município nº 58
Data: 24.03.2021&amp;R&amp;8&amp;P / &amp;N</oddFooter>
  </headerFooter>
  <ignoredErrors>
    <ignoredError sqref="J14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3"/>
  <sheetViews>
    <sheetView showGridLines="0" view="pageBreakPreview" zoomScale="87" zoomScaleNormal="87" zoomScaleSheetLayoutView="87" zoomScalePageLayoutView="0" workbookViewId="0" topLeftCell="A73">
      <selection activeCell="G87" sqref="G87"/>
    </sheetView>
  </sheetViews>
  <sheetFormatPr defaultColWidth="0.9921875" defaultRowHeight="15" customHeight="1"/>
  <cols>
    <col min="1" max="1" width="74.421875" style="351" customWidth="1"/>
    <col min="2" max="2" width="17.7109375" style="250" customWidth="1"/>
    <col min="3" max="3" width="18.57421875" style="540" customWidth="1"/>
    <col min="4" max="4" width="17.8515625" style="250" customWidth="1"/>
    <col min="5" max="5" width="17.00390625" style="250" customWidth="1"/>
    <col min="6" max="6" width="26.57421875" style="250" customWidth="1"/>
    <col min="7" max="62" width="15.7109375" style="250" customWidth="1"/>
    <col min="63" max="16384" width="0.9921875" style="250" customWidth="1"/>
  </cols>
  <sheetData>
    <row r="1" spans="1:6" ht="15" customHeight="1">
      <c r="A1" s="2204" t="s">
        <v>198</v>
      </c>
      <c r="B1" s="2204"/>
      <c r="C1" s="2204"/>
      <c r="D1" s="2204"/>
      <c r="E1" s="2204"/>
      <c r="F1" s="538"/>
    </row>
    <row r="2" spans="1:6" ht="15" customHeight="1">
      <c r="A2" s="2205" t="s">
        <v>199</v>
      </c>
      <c r="B2" s="2205"/>
      <c r="C2" s="2205"/>
      <c r="D2" s="2205"/>
      <c r="E2" s="2205"/>
      <c r="F2" s="539"/>
    </row>
    <row r="3" spans="1:6" ht="15" customHeight="1">
      <c r="A3" s="2204" t="s">
        <v>1</v>
      </c>
      <c r="B3" s="2204"/>
      <c r="C3" s="2204"/>
      <c r="D3" s="2204"/>
      <c r="E3" s="2204"/>
      <c r="F3" s="538"/>
    </row>
    <row r="4" spans="1:11" s="347" customFormat="1" ht="15.75" customHeight="1">
      <c r="A4" s="2206" t="str">
        <f>'Anexo 1 _ BAL ORC'!A5:F5</f>
        <v>            Referência: JANEIRO-FEVEREIRO/2021; BIMESTRE: JANEIRO-FEVEREIRO/2021</v>
      </c>
      <c r="B4" s="2206"/>
      <c r="C4" s="2206"/>
      <c r="D4" s="725"/>
      <c r="E4" s="725"/>
      <c r="F4" s="372"/>
      <c r="G4" s="372"/>
      <c r="H4" s="372"/>
      <c r="I4" s="372"/>
      <c r="J4" s="373"/>
      <c r="K4" s="374"/>
    </row>
    <row r="5" spans="1:11" s="347" customFormat="1" ht="14.25">
      <c r="A5" s="346"/>
      <c r="B5" s="346"/>
      <c r="C5" s="2203"/>
      <c r="D5" s="2203"/>
      <c r="E5" s="2203"/>
      <c r="F5" s="372"/>
      <c r="G5" s="372"/>
      <c r="H5" s="372"/>
      <c r="I5" s="372"/>
      <c r="J5" s="373"/>
      <c r="K5" s="374"/>
    </row>
    <row r="6" spans="1:5" ht="15" customHeight="1">
      <c r="A6" s="794" t="s">
        <v>248</v>
      </c>
      <c r="B6" s="795"/>
      <c r="C6" s="796"/>
      <c r="D6" s="794"/>
      <c r="E6" s="797"/>
    </row>
    <row r="7" spans="1:5" ht="21" customHeight="1">
      <c r="A7" s="798" t="s">
        <v>200</v>
      </c>
      <c r="B7" s="2234" t="s">
        <v>63</v>
      </c>
      <c r="C7" s="2235"/>
      <c r="D7" s="2235"/>
      <c r="E7" s="2236"/>
    </row>
    <row r="8" spans="1:5" ht="21" customHeight="1">
      <c r="A8" s="799" t="s">
        <v>2</v>
      </c>
      <c r="B8" s="541"/>
      <c r="C8" s="542"/>
      <c r="D8" s="542"/>
      <c r="E8" s="782"/>
    </row>
    <row r="9" spans="1:5" ht="18" customHeight="1">
      <c r="A9" s="800" t="s">
        <v>265</v>
      </c>
      <c r="B9" s="2190">
        <f>'Anexo 1 _ BAL ORC'!B60</f>
        <v>3501640568.36</v>
      </c>
      <c r="C9" s="2191"/>
      <c r="D9" s="2191"/>
      <c r="E9" s="2192"/>
    </row>
    <row r="10" spans="1:6" ht="18" customHeight="1">
      <c r="A10" s="800" t="s">
        <v>266</v>
      </c>
      <c r="B10" s="2190">
        <f>'Anexo 1 _ BAL ORC'!C60</f>
        <v>3501640568.36</v>
      </c>
      <c r="C10" s="2191"/>
      <c r="D10" s="2191"/>
      <c r="E10" s="2192"/>
      <c r="F10" s="730"/>
    </row>
    <row r="11" spans="1:5" ht="18" customHeight="1">
      <c r="A11" s="800" t="s">
        <v>258</v>
      </c>
      <c r="B11" s="2190">
        <f>'Anexo 1 _ BAL ORC'!G50</f>
        <v>580511399.5699999</v>
      </c>
      <c r="C11" s="2191"/>
      <c r="D11" s="2191"/>
      <c r="E11" s="2192"/>
    </row>
    <row r="12" spans="1:5" ht="18" customHeight="1">
      <c r="A12" s="800" t="s">
        <v>259</v>
      </c>
      <c r="B12" s="2190">
        <f>'Anexo 1 _ BAL ORC'!G59</f>
        <v>0</v>
      </c>
      <c r="C12" s="2191"/>
      <c r="D12" s="2191"/>
      <c r="E12" s="2192"/>
    </row>
    <row r="13" spans="1:5" ht="18" customHeight="1">
      <c r="A13" s="801" t="s">
        <v>267</v>
      </c>
      <c r="B13" s="2190">
        <f>'Anexo 1 _ BAL ORC'!C63</f>
        <v>42827601.07000017</v>
      </c>
      <c r="C13" s="2191"/>
      <c r="D13" s="2191"/>
      <c r="E13" s="2192"/>
    </row>
    <row r="14" spans="1:5" ht="21" customHeight="1">
      <c r="A14" s="799" t="s">
        <v>32</v>
      </c>
      <c r="B14" s="2211"/>
      <c r="C14" s="2212"/>
      <c r="D14" s="2212"/>
      <c r="E14" s="2213"/>
    </row>
    <row r="15" spans="1:5" ht="18" customHeight="1">
      <c r="A15" s="800" t="s">
        <v>260</v>
      </c>
      <c r="B15" s="2190">
        <f>'Anexo 1 _ BAL ORC'!B92</f>
        <v>3501640568.36</v>
      </c>
      <c r="C15" s="2191"/>
      <c r="D15" s="2191"/>
      <c r="E15" s="2192"/>
    </row>
    <row r="16" spans="1:5" ht="18" customHeight="1">
      <c r="A16" s="800" t="s">
        <v>261</v>
      </c>
      <c r="B16" s="2190">
        <f>'Anexo 1 _ BAL ORC'!C92</f>
        <v>3544468169.4300003</v>
      </c>
      <c r="C16" s="2191"/>
      <c r="D16" s="2191"/>
      <c r="E16" s="2192"/>
    </row>
    <row r="17" spans="1:5" ht="18" customHeight="1">
      <c r="A17" s="800" t="s">
        <v>262</v>
      </c>
      <c r="B17" s="2190">
        <f>'Anexo 1 _ BAL ORC'!E82</f>
        <v>2155549306.7799997</v>
      </c>
      <c r="C17" s="2191"/>
      <c r="D17" s="2191"/>
      <c r="E17" s="2192"/>
    </row>
    <row r="18" spans="1:5" ht="18" customHeight="1">
      <c r="A18" s="800" t="s">
        <v>263</v>
      </c>
      <c r="B18" s="2190">
        <f>'Anexo 1 _ BAL ORC'!H82</f>
        <v>293104108.70000005</v>
      </c>
      <c r="C18" s="2191"/>
      <c r="D18" s="2191"/>
      <c r="E18" s="2192"/>
    </row>
    <row r="19" spans="1:5" ht="18" customHeight="1">
      <c r="A19" s="800" t="s">
        <v>309</v>
      </c>
      <c r="B19" s="2190">
        <f>'Anexo 1 _ BAL ORC'!J82</f>
        <v>243453101.72000003</v>
      </c>
      <c r="C19" s="2191"/>
      <c r="D19" s="2191"/>
      <c r="E19" s="2192"/>
    </row>
    <row r="20" spans="1:5" ht="18" customHeight="1">
      <c r="A20" s="801" t="s">
        <v>264</v>
      </c>
      <c r="B20" s="2200">
        <f>'Anexo 1 _ BAL ORC'!H91</f>
        <v>287407290.8699999</v>
      </c>
      <c r="C20" s="2201"/>
      <c r="D20" s="2201"/>
      <c r="E20" s="2202"/>
    </row>
    <row r="21" spans="1:5" ht="15" customHeight="1">
      <c r="A21" s="800"/>
      <c r="B21" s="534"/>
      <c r="C21" s="543"/>
      <c r="D21" s="543"/>
      <c r="E21" s="783"/>
    </row>
    <row r="22" spans="1:5" ht="19.5" customHeight="1">
      <c r="A22" s="802" t="s">
        <v>203</v>
      </c>
      <c r="B22" s="2158" t="s">
        <v>63</v>
      </c>
      <c r="C22" s="2237"/>
      <c r="D22" s="2237"/>
      <c r="E22" s="2238"/>
    </row>
    <row r="23" spans="1:5" ht="18" customHeight="1">
      <c r="A23" s="803" t="s">
        <v>201</v>
      </c>
      <c r="B23" s="2193">
        <f>'Anexo 2 _ DP FUNC'!P126</f>
        <v>2155549306.78</v>
      </c>
      <c r="C23" s="2194"/>
      <c r="D23" s="2194"/>
      <c r="E23" s="2195"/>
    </row>
    <row r="24" spans="1:5" ht="18" customHeight="1">
      <c r="A24" s="804" t="s">
        <v>202</v>
      </c>
      <c r="B24" s="2197">
        <f>'Anexo 2 _ DP FUNC'!T126</f>
        <v>293104108.7</v>
      </c>
      <c r="C24" s="2198"/>
      <c r="D24" s="2198"/>
      <c r="E24" s="2199"/>
    </row>
    <row r="25" spans="1:5" ht="15" customHeight="1">
      <c r="A25" s="800"/>
      <c r="B25" s="534"/>
      <c r="C25" s="68"/>
      <c r="D25" s="543"/>
      <c r="E25" s="784"/>
    </row>
    <row r="26" spans="1:5" ht="21" customHeight="1">
      <c r="A26" s="1144" t="s">
        <v>204</v>
      </c>
      <c r="B26" s="2160"/>
      <c r="C26" s="2160"/>
      <c r="D26" s="2239" t="s">
        <v>256</v>
      </c>
      <c r="E26" s="2240"/>
    </row>
    <row r="27" spans="1:5" ht="21" customHeight="1">
      <c r="A27" s="2210" t="s">
        <v>205</v>
      </c>
      <c r="B27" s="2210"/>
      <c r="C27" s="2210"/>
      <c r="D27" s="2196">
        <f>'Anexo 3 _ RCL'!P36</f>
        <v>3314778281.0800004</v>
      </c>
      <c r="E27" s="2196"/>
    </row>
    <row r="28" spans="1:5" ht="21" customHeight="1">
      <c r="A28" s="2210" t="s">
        <v>686</v>
      </c>
      <c r="B28" s="2210"/>
      <c r="C28" s="2210"/>
      <c r="D28" s="2196">
        <f>'Anexo 3 _ RCL'!P38</f>
        <v>3314778281.0800004</v>
      </c>
      <c r="E28" s="2196"/>
    </row>
    <row r="29" spans="1:5" ht="21" customHeight="1">
      <c r="A29" s="2210" t="s">
        <v>687</v>
      </c>
      <c r="B29" s="2210"/>
      <c r="C29" s="2210"/>
      <c r="D29" s="2196">
        <f>'Anexo 3 _ RCL'!P40</f>
        <v>3314778281.0800004</v>
      </c>
      <c r="E29" s="2196"/>
    </row>
    <row r="30" spans="1:5" ht="15" customHeight="1">
      <c r="A30" s="800"/>
      <c r="B30" s="534"/>
      <c r="C30" s="543"/>
      <c r="D30" s="543"/>
      <c r="E30" s="783"/>
    </row>
    <row r="31" spans="1:5" ht="21" customHeight="1">
      <c r="A31" s="802" t="s">
        <v>427</v>
      </c>
      <c r="B31" s="2158" t="s">
        <v>63</v>
      </c>
      <c r="C31" s="2237"/>
      <c r="D31" s="2237"/>
      <c r="E31" s="2238"/>
    </row>
    <row r="32" spans="1:5" s="511" customFormat="1" ht="21" customHeight="1">
      <c r="A32" s="805" t="s">
        <v>688</v>
      </c>
      <c r="B32" s="2207"/>
      <c r="C32" s="2208"/>
      <c r="D32" s="2208"/>
      <c r="E32" s="2209"/>
    </row>
    <row r="33" spans="1:5" ht="18" customHeight="1">
      <c r="A33" s="803" t="s">
        <v>428</v>
      </c>
      <c r="B33" s="2155">
        <f>'Anexo 4 _ PREVID '!D34</f>
        <v>7747834.83</v>
      </c>
      <c r="C33" s="2156"/>
      <c r="D33" s="2156"/>
      <c r="E33" s="2157"/>
    </row>
    <row r="34" spans="1:5" ht="18" customHeight="1">
      <c r="A34" s="803" t="s">
        <v>689</v>
      </c>
      <c r="B34" s="2155">
        <f>'Anexo 4 _ PREVID '!D45</f>
        <v>0</v>
      </c>
      <c r="C34" s="2156"/>
      <c r="D34" s="2156"/>
      <c r="E34" s="2157"/>
    </row>
    <row r="35" spans="1:5" ht="18" customHeight="1">
      <c r="A35" s="803" t="s">
        <v>429</v>
      </c>
      <c r="B35" s="2155">
        <f>'Anexo 4 _ PREVID '!G52</f>
        <v>0</v>
      </c>
      <c r="C35" s="2156"/>
      <c r="D35" s="2156"/>
      <c r="E35" s="2157"/>
    </row>
    <row r="36" spans="1:5" ht="18" customHeight="1">
      <c r="A36" s="803" t="s">
        <v>430</v>
      </c>
      <c r="B36" s="2217">
        <f>B33-B35</f>
        <v>7747834.83</v>
      </c>
      <c r="C36" s="2168"/>
      <c r="D36" s="2168"/>
      <c r="E36" s="2169"/>
    </row>
    <row r="37" spans="1:5" ht="21" customHeight="1">
      <c r="A37" s="805" t="s">
        <v>690</v>
      </c>
      <c r="B37" s="2167"/>
      <c r="C37" s="2168"/>
      <c r="D37" s="2168"/>
      <c r="E37" s="2169"/>
    </row>
    <row r="38" spans="1:5" ht="18" customHeight="1">
      <c r="A38" s="803" t="s">
        <v>428</v>
      </c>
      <c r="B38" s="2155">
        <f>'Anexo 4 _ PREVID '!D95</f>
        <v>18040155.979999997</v>
      </c>
      <c r="C38" s="2156"/>
      <c r="D38" s="2156"/>
      <c r="E38" s="2157"/>
    </row>
    <row r="39" spans="1:5" ht="18" customHeight="1">
      <c r="A39" s="803" t="s">
        <v>689</v>
      </c>
      <c r="B39" s="2155">
        <f>'Anexo 4 _ PREVID '!D106</f>
        <v>321338575.6</v>
      </c>
      <c r="C39" s="2156"/>
      <c r="D39" s="2156"/>
      <c r="E39" s="2157"/>
    </row>
    <row r="40" spans="1:5" ht="18" customHeight="1">
      <c r="A40" s="803" t="s">
        <v>429</v>
      </c>
      <c r="B40" s="2155">
        <f>'Anexo 4 _ PREVID '!G106</f>
        <v>49067786.14</v>
      </c>
      <c r="C40" s="2156"/>
      <c r="D40" s="2156"/>
      <c r="E40" s="2157"/>
    </row>
    <row r="41" spans="1:5" ht="18" customHeight="1">
      <c r="A41" s="804" t="s">
        <v>430</v>
      </c>
      <c r="B41" s="2214">
        <f>B38-B40</f>
        <v>-31027630.160000004</v>
      </c>
      <c r="C41" s="2215"/>
      <c r="D41" s="2215"/>
      <c r="E41" s="2216"/>
    </row>
    <row r="42" spans="1:5" ht="15" customHeight="1">
      <c r="A42" s="377"/>
      <c r="B42" s="377"/>
      <c r="C42" s="543"/>
      <c r="D42" s="377"/>
      <c r="E42" s="377"/>
    </row>
    <row r="43" spans="1:5" ht="43.5" customHeight="1">
      <c r="A43" s="2185" t="s">
        <v>514</v>
      </c>
      <c r="B43" s="2241" t="s">
        <v>268</v>
      </c>
      <c r="C43" s="2241" t="s">
        <v>276</v>
      </c>
      <c r="D43" s="2239" t="s">
        <v>206</v>
      </c>
      <c r="E43" s="2242"/>
    </row>
    <row r="44" spans="1:5" ht="19.5" customHeight="1">
      <c r="A44" s="2185"/>
      <c r="B44" s="2243" t="s">
        <v>64</v>
      </c>
      <c r="C44" s="2244" t="s">
        <v>65</v>
      </c>
      <c r="D44" s="2245" t="s">
        <v>66</v>
      </c>
      <c r="E44" s="2246"/>
    </row>
    <row r="45" spans="1:5" ht="21" customHeight="1">
      <c r="A45" s="806" t="s">
        <v>515</v>
      </c>
      <c r="B45" s="544">
        <f>'Anexo 6 _ RES PRIM e NOM'!B72</f>
        <v>-137966770</v>
      </c>
      <c r="C45" s="545">
        <f>'Anexo 6 _ RES PRIM e NOM'!B69</f>
        <v>295588690.50999993</v>
      </c>
      <c r="D45" s="2186">
        <f>(C45/B45)*100</f>
        <v>-214.24629315450377</v>
      </c>
      <c r="E45" s="2187"/>
    </row>
    <row r="46" spans="1:5" ht="21" customHeight="1">
      <c r="A46" s="801" t="s">
        <v>516</v>
      </c>
      <c r="B46" s="546">
        <f>'Anexo 6 _ RES PRIM e NOM'!B82</f>
        <v>72789030</v>
      </c>
      <c r="C46" s="545">
        <f>'Anexo 6 _ RES PRIM e NOM'!B79</f>
        <v>291311590.7899999</v>
      </c>
      <c r="D46" s="2188">
        <f>(C46/B46)*100</f>
        <v>400.2135909628139</v>
      </c>
      <c r="E46" s="2189"/>
    </row>
    <row r="47" spans="1:5" ht="15" customHeight="1">
      <c r="A47" s="807"/>
      <c r="B47" s="377"/>
      <c r="C47" s="543"/>
      <c r="D47" s="377"/>
      <c r="E47" s="783"/>
    </row>
    <row r="48" spans="1:5" ht="33" customHeight="1">
      <c r="A48" s="802" t="s">
        <v>353</v>
      </c>
      <c r="B48" s="2247" t="s">
        <v>207</v>
      </c>
      <c r="C48" s="2248" t="s">
        <v>278</v>
      </c>
      <c r="D48" s="2248" t="s">
        <v>277</v>
      </c>
      <c r="E48" s="1376" t="s">
        <v>279</v>
      </c>
    </row>
    <row r="49" spans="1:5" s="343" customFormat="1" ht="21" customHeight="1">
      <c r="A49" s="805" t="s">
        <v>208</v>
      </c>
      <c r="B49" s="547">
        <f>B50+B54</f>
        <v>322049644.23</v>
      </c>
      <c r="C49" s="547">
        <f>C50+C54</f>
        <v>178763.67</v>
      </c>
      <c r="D49" s="547">
        <f>D50+D54</f>
        <v>37442746.25</v>
      </c>
      <c r="E49" s="786">
        <f>E50+E54</f>
        <v>284428134.31</v>
      </c>
    </row>
    <row r="50" spans="1:5" ht="21" customHeight="1">
      <c r="A50" s="803" t="s">
        <v>269</v>
      </c>
      <c r="B50" s="376">
        <f>'Anexo 7 _  RP'!B17+'Anexo 7 _  RP'!C17</f>
        <v>322049644.23</v>
      </c>
      <c r="C50" s="376">
        <f>'Anexo 7 _  RP'!E17</f>
        <v>178763.67</v>
      </c>
      <c r="D50" s="376">
        <f>'Anexo 7 _  RP'!D17</f>
        <v>37442746.25</v>
      </c>
      <c r="E50" s="779">
        <f>B50-C50-D50</f>
        <v>284428134.31</v>
      </c>
    </row>
    <row r="51" spans="1:5" ht="21" customHeight="1">
      <c r="A51" s="803" t="s">
        <v>270</v>
      </c>
      <c r="B51" s="376"/>
      <c r="C51" s="376"/>
      <c r="D51" s="376"/>
      <c r="E51" s="779"/>
    </row>
    <row r="52" spans="1:5" ht="21" customHeight="1">
      <c r="A52" s="803" t="s">
        <v>431</v>
      </c>
      <c r="B52" s="376"/>
      <c r="C52" s="376"/>
      <c r="D52" s="376"/>
      <c r="E52" s="779"/>
    </row>
    <row r="53" spans="1:5" ht="21" customHeight="1">
      <c r="A53" s="803" t="s">
        <v>432</v>
      </c>
      <c r="B53" s="376"/>
      <c r="C53" s="376"/>
      <c r="D53" s="376"/>
      <c r="E53" s="779"/>
    </row>
    <row r="54" spans="1:5" ht="21" customHeight="1">
      <c r="A54" s="803" t="s">
        <v>433</v>
      </c>
      <c r="B54" s="376"/>
      <c r="C54" s="376"/>
      <c r="D54" s="376"/>
      <c r="E54" s="779">
        <f>B54-C54-D54</f>
        <v>0</v>
      </c>
    </row>
    <row r="55" spans="1:5" s="343" customFormat="1" ht="21" customHeight="1">
      <c r="A55" s="805" t="s">
        <v>209</v>
      </c>
      <c r="B55" s="547">
        <f>B56+B60</f>
        <v>345126039.43</v>
      </c>
      <c r="C55" s="547">
        <f>C56+C60</f>
        <v>5120983.93</v>
      </c>
      <c r="D55" s="547">
        <f>D56+D60</f>
        <v>19326024.57</v>
      </c>
      <c r="E55" s="786">
        <f>E56+E60</f>
        <v>320679030.93</v>
      </c>
    </row>
    <row r="56" spans="1:5" ht="21" customHeight="1">
      <c r="A56" s="803" t="s">
        <v>269</v>
      </c>
      <c r="B56" s="376">
        <f>'Anexo 7 _  RP'!G17+'Anexo 7 _  RP'!H17</f>
        <v>345126039.43</v>
      </c>
      <c r="C56" s="376">
        <f>'Anexo 7 _  RP'!K17</f>
        <v>5120983.93</v>
      </c>
      <c r="D56" s="376">
        <f>'Anexo 7 _  RP'!J17</f>
        <v>19326024.57</v>
      </c>
      <c r="E56" s="779">
        <f>B56-C56-D56</f>
        <v>320679030.93</v>
      </c>
    </row>
    <row r="57" spans="1:5" ht="21" customHeight="1">
      <c r="A57" s="803" t="s">
        <v>270</v>
      </c>
      <c r="B57" s="376"/>
      <c r="C57" s="376"/>
      <c r="D57" s="376"/>
      <c r="E57" s="779"/>
    </row>
    <row r="58" spans="1:5" ht="21" customHeight="1">
      <c r="A58" s="803" t="s">
        <v>431</v>
      </c>
      <c r="B58" s="376"/>
      <c r="C58" s="376"/>
      <c r="D58" s="376"/>
      <c r="E58" s="779"/>
    </row>
    <row r="59" spans="1:5" ht="21" customHeight="1">
      <c r="A59" s="803" t="s">
        <v>432</v>
      </c>
      <c r="B59" s="376"/>
      <c r="C59" s="376"/>
      <c r="D59" s="376"/>
      <c r="E59" s="779"/>
    </row>
    <row r="60" spans="1:5" ht="21" customHeight="1">
      <c r="A60" s="803" t="s">
        <v>433</v>
      </c>
      <c r="B60" s="376"/>
      <c r="C60" s="376"/>
      <c r="D60" s="376"/>
      <c r="E60" s="779">
        <f>B60-C60-D60</f>
        <v>0</v>
      </c>
    </row>
    <row r="61" spans="1:5" ht="21" customHeight="1">
      <c r="A61" s="808" t="s">
        <v>188</v>
      </c>
      <c r="B61" s="84">
        <f>B49+B55</f>
        <v>667175683.6600001</v>
      </c>
      <c r="C61" s="84">
        <f>C49+C55</f>
        <v>5299747.6</v>
      </c>
      <c r="D61" s="85">
        <f>D49+D55</f>
        <v>56768770.82</v>
      </c>
      <c r="E61" s="787">
        <f>E49+E55</f>
        <v>605107165.24</v>
      </c>
    </row>
    <row r="62" spans="1:5" ht="15" customHeight="1">
      <c r="A62" s="809"/>
      <c r="B62" s="548"/>
      <c r="C62" s="543"/>
      <c r="D62" s="403"/>
      <c r="E62" s="785"/>
    </row>
    <row r="63" spans="1:5" ht="15" customHeight="1">
      <c r="A63" s="2184" t="s">
        <v>295</v>
      </c>
      <c r="B63" s="2249" t="s">
        <v>210</v>
      </c>
      <c r="C63" s="2158" t="s">
        <v>211</v>
      </c>
      <c r="D63" s="2158"/>
      <c r="E63" s="2159"/>
    </row>
    <row r="64" spans="1:5" ht="45.75" customHeight="1">
      <c r="A64" s="2184"/>
      <c r="B64" s="2250" t="s">
        <v>212</v>
      </c>
      <c r="C64" s="2251" t="s">
        <v>478</v>
      </c>
      <c r="D64" s="2158" t="s">
        <v>271</v>
      </c>
      <c r="E64" s="2159"/>
    </row>
    <row r="65" spans="1:5" ht="39.75" customHeight="1">
      <c r="A65" s="803" t="s">
        <v>272</v>
      </c>
      <c r="B65" s="86">
        <f>'Anexo 8 _ ENSINO'!F107</f>
        <v>45735060.96400001</v>
      </c>
      <c r="C65" s="549">
        <v>0.25</v>
      </c>
      <c r="D65" s="2181">
        <f>'Anexo 8 _ ENSINO'!H107</f>
        <v>11.412309078815476</v>
      </c>
      <c r="E65" s="2182"/>
    </row>
    <row r="66" spans="1:5" ht="39.75" customHeight="1">
      <c r="A66" s="810" t="s">
        <v>770</v>
      </c>
      <c r="B66" s="86">
        <f>'Anexo 8 _ ENSINO'!D79</f>
        <v>47687546.24</v>
      </c>
      <c r="C66" s="549">
        <v>0.7</v>
      </c>
      <c r="D66" s="2165">
        <f>'Anexo 8 _ ENSINO'!G79</f>
        <v>45.23259267693584</v>
      </c>
      <c r="E66" s="2166"/>
    </row>
    <row r="67" spans="1:5" ht="39.75" customHeight="1">
      <c r="A67" s="1255" t="s">
        <v>771</v>
      </c>
      <c r="B67" s="944">
        <f>'Anexo 8 _ ENSINO'!D80</f>
        <v>0</v>
      </c>
      <c r="C67" s="550">
        <v>0.5</v>
      </c>
      <c r="D67" s="2165" t="e">
        <f>'Anexo 8 _ ENSINO'!G80</f>
        <v>#DIV/0!</v>
      </c>
      <c r="E67" s="2166"/>
    </row>
    <row r="68" spans="1:5" ht="39.75" customHeight="1">
      <c r="A68" s="811" t="s">
        <v>772</v>
      </c>
      <c r="B68" s="551">
        <f>'Anexo 8 _ ENSINO'!D81</f>
        <v>0</v>
      </c>
      <c r="C68" s="905">
        <v>0.15</v>
      </c>
      <c r="D68" s="2176" t="e">
        <f>'Anexo 8 _ ENSINO'!G81</f>
        <v>#DIV/0!</v>
      </c>
      <c r="E68" s="2177"/>
    </row>
    <row r="69" spans="1:5" s="375" customFormat="1" ht="21" customHeight="1">
      <c r="A69" s="812" t="s">
        <v>213</v>
      </c>
      <c r="B69" s="2252" t="s">
        <v>214</v>
      </c>
      <c r="C69" s="2252"/>
      <c r="D69" s="2158" t="s">
        <v>215</v>
      </c>
      <c r="E69" s="2159"/>
    </row>
    <row r="70" spans="1:5" s="375" customFormat="1" ht="21" customHeight="1">
      <c r="A70" s="813" t="s">
        <v>216</v>
      </c>
      <c r="B70" s="2163"/>
      <c r="C70" s="2178"/>
      <c r="D70" s="2163"/>
      <c r="E70" s="2164"/>
    </row>
    <row r="71" spans="1:5" s="375" customFormat="1" ht="21" customHeight="1">
      <c r="A71" s="814" t="s">
        <v>217</v>
      </c>
      <c r="B71" s="2173"/>
      <c r="C71" s="2174"/>
      <c r="D71" s="2173"/>
      <c r="E71" s="2175"/>
    </row>
    <row r="72" spans="1:5" s="375" customFormat="1" ht="21" customHeight="1">
      <c r="A72" s="802" t="s">
        <v>218</v>
      </c>
      <c r="B72" s="2253" t="s">
        <v>280</v>
      </c>
      <c r="C72" s="2254" t="s">
        <v>219</v>
      </c>
      <c r="D72" s="2253" t="s">
        <v>220</v>
      </c>
      <c r="E72" s="1376" t="s">
        <v>221</v>
      </c>
    </row>
    <row r="73" spans="1:5" s="375" customFormat="1" ht="21" customHeight="1">
      <c r="A73" s="815" t="s">
        <v>434</v>
      </c>
      <c r="B73" s="552"/>
      <c r="C73" s="553"/>
      <c r="D73" s="554"/>
      <c r="E73" s="788"/>
    </row>
    <row r="74" spans="1:5" s="375" customFormat="1" ht="21" customHeight="1">
      <c r="A74" s="816" t="s">
        <v>435</v>
      </c>
      <c r="B74" s="979"/>
      <c r="C74" s="979"/>
      <c r="D74" s="980"/>
      <c r="E74" s="981"/>
    </row>
    <row r="75" spans="1:5" s="375" customFormat="1" ht="21" customHeight="1">
      <c r="A75" s="816" t="s">
        <v>436</v>
      </c>
      <c r="B75" s="979"/>
      <c r="C75" s="979"/>
      <c r="D75" s="980"/>
      <c r="E75" s="981"/>
    </row>
    <row r="76" spans="1:5" s="375" customFormat="1" ht="21" customHeight="1">
      <c r="A76" s="816" t="s">
        <v>437</v>
      </c>
      <c r="B76" s="555">
        <f>B74-B75</f>
        <v>0</v>
      </c>
      <c r="C76" s="555">
        <f>C74-C75</f>
        <v>0</v>
      </c>
      <c r="D76" s="555">
        <f>D74-D75</f>
        <v>0</v>
      </c>
      <c r="E76" s="789">
        <f>E74-E75</f>
        <v>0</v>
      </c>
    </row>
    <row r="77" spans="1:5" s="375" customFormat="1" ht="21" customHeight="1">
      <c r="A77" s="815" t="s">
        <v>440</v>
      </c>
      <c r="B77" s="558"/>
      <c r="C77" s="556"/>
      <c r="D77" s="557"/>
      <c r="E77" s="788"/>
    </row>
    <row r="78" spans="1:5" s="375" customFormat="1" ht="21" customHeight="1">
      <c r="A78" s="816" t="s">
        <v>435</v>
      </c>
      <c r="B78" s="14"/>
      <c r="C78" s="14"/>
      <c r="D78" s="15"/>
      <c r="E78" s="790"/>
    </row>
    <row r="79" spans="1:5" s="375" customFormat="1" ht="21" customHeight="1">
      <c r="A79" s="816" t="s">
        <v>436</v>
      </c>
      <c r="B79" s="14"/>
      <c r="C79" s="14"/>
      <c r="D79" s="15"/>
      <c r="E79" s="790"/>
    </row>
    <row r="80" spans="1:5" s="375" customFormat="1" ht="21" customHeight="1">
      <c r="A80" s="816" t="s">
        <v>437</v>
      </c>
      <c r="B80" s="14">
        <f>B78-B79</f>
        <v>0</v>
      </c>
      <c r="C80" s="14">
        <f>C78-C79</f>
        <v>0</v>
      </c>
      <c r="D80" s="14">
        <f>D78-D79</f>
        <v>0</v>
      </c>
      <c r="E80" s="14">
        <f>E78-E79</f>
        <v>0</v>
      </c>
    </row>
    <row r="81" spans="1:5" s="375" customFormat="1" ht="15" customHeight="1">
      <c r="A81" s="817"/>
      <c r="B81" s="560"/>
      <c r="C81" s="359"/>
      <c r="D81" s="560"/>
      <c r="E81" s="791"/>
    </row>
    <row r="82" spans="1:5" s="375" customFormat="1" ht="21" customHeight="1">
      <c r="A82" s="818" t="s">
        <v>222</v>
      </c>
      <c r="B82" s="2252" t="s">
        <v>214</v>
      </c>
      <c r="C82" s="2252"/>
      <c r="D82" s="2158" t="s">
        <v>215</v>
      </c>
      <c r="E82" s="2159"/>
    </row>
    <row r="83" spans="1:5" s="375" customFormat="1" ht="21" customHeight="1">
      <c r="A83" s="816" t="s">
        <v>691</v>
      </c>
      <c r="B83" s="2163"/>
      <c r="C83" s="2178"/>
      <c r="D83" s="2163"/>
      <c r="E83" s="2164"/>
    </row>
    <row r="84" spans="1:5" s="375" customFormat="1" ht="21" customHeight="1">
      <c r="A84" s="814" t="s">
        <v>223</v>
      </c>
      <c r="B84" s="2173"/>
      <c r="C84" s="2174"/>
      <c r="D84" s="2173"/>
      <c r="E84" s="2175"/>
    </row>
    <row r="85" spans="1:5" s="375" customFormat="1" ht="15" customHeight="1">
      <c r="A85" s="819"/>
      <c r="B85" s="559"/>
      <c r="C85" s="561"/>
      <c r="D85" s="359"/>
      <c r="E85" s="792"/>
    </row>
    <row r="86" spans="1:5" s="375" customFormat="1" ht="21" customHeight="1">
      <c r="A86" s="2179" t="s">
        <v>275</v>
      </c>
      <c r="B86" s="2255" t="s">
        <v>214</v>
      </c>
      <c r="C86" s="2256"/>
      <c r="D86" s="2158" t="s">
        <v>273</v>
      </c>
      <c r="E86" s="2159"/>
    </row>
    <row r="87" spans="1:5" s="375" customFormat="1" ht="48" customHeight="1">
      <c r="A87" s="2180"/>
      <c r="B87" s="2234"/>
      <c r="C87" s="2257"/>
      <c r="D87" s="2258" t="s">
        <v>274</v>
      </c>
      <c r="E87" s="2259" t="s">
        <v>271</v>
      </c>
    </row>
    <row r="88" spans="1:5" s="375" customFormat="1" ht="21" customHeight="1">
      <c r="A88" s="820" t="s">
        <v>692</v>
      </c>
      <c r="B88" s="2161">
        <f>'Anexo 12 _ SAÚDE'!I70</f>
        <v>65006405.54000001</v>
      </c>
      <c r="C88" s="2162"/>
      <c r="D88" s="495">
        <v>15</v>
      </c>
      <c r="E88" s="495">
        <f>'Anexo 12 _ SAÚDE'!G75</f>
        <v>16.22110425761239</v>
      </c>
    </row>
    <row r="89" spans="1:5" s="375" customFormat="1" ht="15" customHeight="1">
      <c r="A89" s="819"/>
      <c r="B89" s="559"/>
      <c r="C89" s="562"/>
      <c r="D89" s="559"/>
      <c r="E89" s="793"/>
    </row>
    <row r="90" spans="1:5" s="404" customFormat="1" ht="25.5" customHeight="1">
      <c r="A90" s="1145" t="s">
        <v>693</v>
      </c>
      <c r="B90" s="2158" t="s">
        <v>224</v>
      </c>
      <c r="C90" s="2158"/>
      <c r="D90" s="2158"/>
      <c r="E90" s="2159"/>
    </row>
    <row r="91" spans="1:5" s="375" customFormat="1" ht="21" customHeight="1">
      <c r="A91" s="821" t="s">
        <v>694</v>
      </c>
      <c r="B91" s="2170">
        <v>0</v>
      </c>
      <c r="C91" s="2171"/>
      <c r="D91" s="2171"/>
      <c r="E91" s="2172"/>
    </row>
    <row r="92" spans="1:5" ht="18.75" customHeight="1">
      <c r="A92" s="350" t="s">
        <v>56</v>
      </c>
      <c r="B92" s="351"/>
      <c r="C92" s="2183"/>
      <c r="D92" s="2183"/>
      <c r="E92" s="351"/>
    </row>
    <row r="93" spans="1:5" s="243" customFormat="1" ht="15" customHeight="1">
      <c r="A93" s="563" t="str">
        <f>'Anexo 6 _ RES PRIM e NOM'!A117</f>
        <v>  São Luís, 24 de março de 2021</v>
      </c>
      <c r="B93" s="493"/>
      <c r="C93" s="406"/>
      <c r="D93" s="406"/>
      <c r="E93" s="493"/>
    </row>
    <row r="94" spans="1:5" s="243" customFormat="1" ht="15" customHeight="1">
      <c r="A94" s="366"/>
      <c r="B94" s="493"/>
      <c r="C94" s="406"/>
      <c r="D94" s="406"/>
      <c r="E94" s="493"/>
    </row>
    <row r="95" spans="1:5" s="243" customFormat="1" ht="12.75" customHeight="1">
      <c r="A95" s="563"/>
      <c r="B95" s="493"/>
      <c r="C95" s="493"/>
      <c r="D95" s="493"/>
      <c r="E95" s="493"/>
    </row>
    <row r="96" spans="1:5" s="243" customFormat="1" ht="12.75" customHeight="1">
      <c r="A96" s="494"/>
      <c r="B96" s="493"/>
      <c r="C96" s="493"/>
      <c r="D96" s="493"/>
      <c r="E96" s="493"/>
    </row>
    <row r="97" spans="1:5" s="243" customFormat="1" ht="12.75" customHeight="1">
      <c r="A97" s="494"/>
      <c r="B97" s="493"/>
      <c r="C97" s="493"/>
      <c r="D97" s="493"/>
      <c r="E97" s="493"/>
    </row>
    <row r="98" spans="1:5" s="243" customFormat="1" ht="12.75" customHeight="1">
      <c r="A98" s="494"/>
      <c r="B98" s="493"/>
      <c r="C98" s="493"/>
      <c r="D98" s="493"/>
      <c r="E98" s="493"/>
    </row>
    <row r="99" spans="1:5" s="243" customFormat="1" ht="12.75" customHeight="1">
      <c r="A99" s="494"/>
      <c r="B99" s="493"/>
      <c r="C99" s="493"/>
      <c r="D99" s="493"/>
      <c r="E99" s="493"/>
    </row>
    <row r="100" spans="1:5" s="243" customFormat="1" ht="12.75" customHeight="1">
      <c r="A100" s="494"/>
      <c r="B100" s="493"/>
      <c r="C100" s="493"/>
      <c r="D100" s="493"/>
      <c r="E100" s="493"/>
    </row>
    <row r="101" spans="1:5" s="243" customFormat="1" ht="12.75" customHeight="1">
      <c r="A101" s="494"/>
      <c r="B101" s="493"/>
      <c r="C101" s="493"/>
      <c r="D101" s="493"/>
      <c r="E101" s="493"/>
    </row>
    <row r="102" spans="1:5" s="243" customFormat="1" ht="12.75" customHeight="1">
      <c r="A102" s="380"/>
      <c r="B102" s="713"/>
      <c r="C102" s="381"/>
      <c r="D102" s="381"/>
      <c r="E102" s="381"/>
    </row>
    <row r="103" spans="2:5" ht="15" customHeight="1">
      <c r="B103" s="351"/>
      <c r="C103" s="714"/>
      <c r="D103" s="351"/>
      <c r="E103" s="351"/>
    </row>
    <row r="104" spans="2:5" ht="15" customHeight="1">
      <c r="B104" s="351"/>
      <c r="C104" s="714"/>
      <c r="D104" s="351"/>
      <c r="E104" s="351"/>
    </row>
    <row r="105" spans="2:5" ht="15" customHeight="1">
      <c r="B105" s="351"/>
      <c r="C105" s="714"/>
      <c r="D105" s="351"/>
      <c r="E105" s="351"/>
    </row>
    <row r="106" spans="2:5" ht="15" customHeight="1">
      <c r="B106" s="351"/>
      <c r="C106" s="714"/>
      <c r="D106" s="351"/>
      <c r="E106" s="351"/>
    </row>
    <row r="107" spans="2:5" ht="15" customHeight="1">
      <c r="B107" s="351"/>
      <c r="C107" s="714"/>
      <c r="D107" s="351"/>
      <c r="E107" s="351"/>
    </row>
    <row r="108" spans="2:5" ht="15" customHeight="1">
      <c r="B108" s="351"/>
      <c r="C108" s="714"/>
      <c r="D108" s="351"/>
      <c r="E108" s="351"/>
    </row>
    <row r="109" spans="2:5" ht="15" customHeight="1">
      <c r="B109" s="351"/>
      <c r="C109" s="714"/>
      <c r="D109" s="351"/>
      <c r="E109" s="351"/>
    </row>
    <row r="110" spans="2:5" ht="15" customHeight="1">
      <c r="B110" s="351"/>
      <c r="C110" s="714"/>
      <c r="D110" s="351"/>
      <c r="E110" s="351"/>
    </row>
    <row r="111" spans="2:5" ht="10.5" customHeight="1">
      <c r="B111" s="351"/>
      <c r="C111" s="714"/>
      <c r="D111" s="351"/>
      <c r="E111" s="351"/>
    </row>
    <row r="112" spans="2:5" ht="15" customHeight="1">
      <c r="B112" s="351"/>
      <c r="C112" s="714"/>
      <c r="D112" s="351"/>
      <c r="E112" s="351"/>
    </row>
    <row r="113" ht="14.25" customHeight="1">
      <c r="B113" s="250" t="s">
        <v>328</v>
      </c>
    </row>
    <row r="114" ht="147.7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.5" customHeight="1" hidden="1"/>
    <row r="132" ht="15" customHeight="1" hidden="1"/>
    <row r="133" ht="15" customHeight="1" hidden="1"/>
    <row r="134" ht="15" customHeight="1" hidden="1"/>
  </sheetData>
  <sheetProtection/>
  <mergeCells count="71">
    <mergeCell ref="B12:E12"/>
    <mergeCell ref="B13:E13"/>
    <mergeCell ref="B14:E14"/>
    <mergeCell ref="B19:E19"/>
    <mergeCell ref="B40:E40"/>
    <mergeCell ref="B41:E41"/>
    <mergeCell ref="B16:E16"/>
    <mergeCell ref="B17:E17"/>
    <mergeCell ref="B18:E18"/>
    <mergeCell ref="B36:E36"/>
    <mergeCell ref="B31:E31"/>
    <mergeCell ref="B33:E33"/>
    <mergeCell ref="B32:E32"/>
    <mergeCell ref="B35:E35"/>
    <mergeCell ref="B15:E15"/>
    <mergeCell ref="D28:E28"/>
    <mergeCell ref="D29:E29"/>
    <mergeCell ref="A27:C27"/>
    <mergeCell ref="A28:C28"/>
    <mergeCell ref="A29:C29"/>
    <mergeCell ref="B7:E7"/>
    <mergeCell ref="C5:E5"/>
    <mergeCell ref="A1:E1"/>
    <mergeCell ref="A2:E2"/>
    <mergeCell ref="A3:E3"/>
    <mergeCell ref="A4:C4"/>
    <mergeCell ref="B9:E9"/>
    <mergeCell ref="B23:E23"/>
    <mergeCell ref="B26:C26"/>
    <mergeCell ref="D26:E26"/>
    <mergeCell ref="D27:E27"/>
    <mergeCell ref="B24:E24"/>
    <mergeCell ref="B20:E20"/>
    <mergeCell ref="B22:E22"/>
    <mergeCell ref="B10:E10"/>
    <mergeCell ref="B11:E11"/>
    <mergeCell ref="A63:A64"/>
    <mergeCell ref="C63:E63"/>
    <mergeCell ref="D64:E64"/>
    <mergeCell ref="A43:A44"/>
    <mergeCell ref="D43:E43"/>
    <mergeCell ref="D44:E44"/>
    <mergeCell ref="D45:E45"/>
    <mergeCell ref="D46:E46"/>
    <mergeCell ref="A86:A87"/>
    <mergeCell ref="D65:E65"/>
    <mergeCell ref="C92:D92"/>
    <mergeCell ref="B69:C69"/>
    <mergeCell ref="D69:E69"/>
    <mergeCell ref="B82:C82"/>
    <mergeCell ref="D82:E82"/>
    <mergeCell ref="D86:E86"/>
    <mergeCell ref="D71:E71"/>
    <mergeCell ref="B83:C83"/>
    <mergeCell ref="B91:E91"/>
    <mergeCell ref="B84:C84"/>
    <mergeCell ref="D84:E84"/>
    <mergeCell ref="D67:E67"/>
    <mergeCell ref="D68:E68"/>
    <mergeCell ref="B70:C70"/>
    <mergeCell ref="B71:C71"/>
    <mergeCell ref="D70:E70"/>
    <mergeCell ref="B39:E39"/>
    <mergeCell ref="B34:E34"/>
    <mergeCell ref="B90:E90"/>
    <mergeCell ref="B86:C87"/>
    <mergeCell ref="B88:C88"/>
    <mergeCell ref="D83:E83"/>
    <mergeCell ref="D66:E66"/>
    <mergeCell ref="B38:E38"/>
    <mergeCell ref="B37:E37"/>
  </mergeCells>
  <printOptions horizontalCentered="1"/>
  <pageMargins left="0.3937007874015748" right="0.3937007874015748" top="0.3937007874015748" bottom="0.2362204724409449" header="0.31496062992125984" footer="0.35433070866141736"/>
  <pageSetup horizontalDpi="600" verticalDpi="600" orientation="landscape" paperSize="9" scale="65" r:id="rId2"/>
  <headerFooter scaleWithDoc="0">
    <oddFooter>&amp;L&amp;8Publicação: Diário Oficial do Município nº 58
Data: 24.03.2021&amp;R&amp;8&amp;P / &amp;N</oddFooter>
  </headerFooter>
  <rowBreaks count="2" manualBreakCount="2">
    <brk id="42" max="4" man="1"/>
    <brk id="71" max="4" man="1"/>
  </rowBreaks>
  <ignoredErrors>
    <ignoredError sqref="E5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K1:AZ250"/>
  <sheetViews>
    <sheetView showGridLines="0" view="pageBreakPreview" zoomScale="91" zoomScaleNormal="85" zoomScaleSheetLayoutView="91" zoomScalePageLayoutView="0" workbookViewId="0" topLeftCell="H1">
      <selection activeCell="K32" sqref="K32:L32"/>
    </sheetView>
  </sheetViews>
  <sheetFormatPr defaultColWidth="9.140625" defaultRowHeight="12.75"/>
  <cols>
    <col min="1" max="10" width="9.140625" style="18" customWidth="1"/>
    <col min="11" max="11" width="9.8515625" style="25" customWidth="1"/>
    <col min="12" max="12" width="33.421875" style="25" customWidth="1"/>
    <col min="13" max="13" width="19.7109375" style="25" customWidth="1"/>
    <col min="14" max="14" width="21.8515625" style="19" customWidth="1"/>
    <col min="15" max="15" width="20.28125" style="28" customWidth="1"/>
    <col min="16" max="16" width="21.28125" style="19" customWidth="1"/>
    <col min="17" max="17" width="10.57421875" style="19" customWidth="1"/>
    <col min="18" max="18" width="19.421875" style="19" customWidth="1"/>
    <col min="19" max="19" width="17.8515625" style="28" customWidth="1"/>
    <col min="20" max="20" width="20.7109375" style="19" customWidth="1"/>
    <col min="21" max="21" width="9.28125" style="19" customWidth="1"/>
    <col min="22" max="22" width="21.421875" style="19" customWidth="1"/>
    <col min="23" max="23" width="19.57421875" style="33" customWidth="1"/>
    <col min="24" max="24" width="20.8515625" style="19" customWidth="1"/>
    <col min="25" max="25" width="16.140625" style="19" bestFit="1" customWidth="1"/>
    <col min="26" max="16384" width="9.140625" style="18" customWidth="1"/>
  </cols>
  <sheetData>
    <row r="1" spans="11:27" s="268" customFormat="1" ht="15">
      <c r="K1" s="230" t="s">
        <v>281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</row>
    <row r="2" spans="11:27" s="268" customFormat="1" ht="15.75">
      <c r="K2" s="230" t="s">
        <v>0</v>
      </c>
      <c r="L2" s="230"/>
      <c r="M2" s="230"/>
      <c r="N2" s="230"/>
      <c r="O2" s="230"/>
      <c r="P2" s="226"/>
      <c r="Q2" s="1428"/>
      <c r="R2" s="1428"/>
      <c r="S2" s="4"/>
      <c r="T2" s="7"/>
      <c r="U2" s="7"/>
      <c r="V2" s="5"/>
      <c r="W2" s="3"/>
      <c r="X2" s="3"/>
      <c r="Y2" s="3"/>
      <c r="Z2" s="1"/>
      <c r="AA2" s="1"/>
    </row>
    <row r="3" spans="11:25" s="268" customFormat="1" ht="12.75" customHeight="1">
      <c r="K3" s="227" t="s">
        <v>317</v>
      </c>
      <c r="L3" s="715"/>
      <c r="M3" s="160"/>
      <c r="N3" s="160"/>
      <c r="O3" s="267"/>
      <c r="P3" s="160"/>
      <c r="Q3" s="160"/>
      <c r="R3" s="160"/>
      <c r="S3" s="267"/>
      <c r="T3" s="160"/>
      <c r="U3" s="160"/>
      <c r="V3" s="160"/>
      <c r="W3" s="242"/>
      <c r="X3" s="160"/>
      <c r="Y3" s="160"/>
    </row>
    <row r="4" spans="11:25" s="268" customFormat="1" ht="12.75" customHeight="1">
      <c r="K4" s="233" t="s">
        <v>1</v>
      </c>
      <c r="L4" s="233"/>
      <c r="M4" s="233"/>
      <c r="N4" s="233"/>
      <c r="O4" s="233"/>
      <c r="P4" s="234"/>
      <c r="Q4" s="160"/>
      <c r="R4" s="160"/>
      <c r="S4" s="267"/>
      <c r="T4" s="160"/>
      <c r="U4" s="269"/>
      <c r="W4" s="242"/>
      <c r="X4" s="160"/>
      <c r="Y4" s="160"/>
    </row>
    <row r="5" spans="11:25" s="128" customFormat="1" ht="15.75" customHeight="1">
      <c r="K5" s="228" t="str">
        <f>'Anexo 1 _ BAL ORC'!A5</f>
        <v>            Referência: JANEIRO-FEVEREIRO/2021; BIMESTRE: JANEIRO-FEVEREIRO/2021</v>
      </c>
      <c r="L5" s="228"/>
      <c r="M5" s="228"/>
      <c r="N5" s="228"/>
      <c r="O5" s="228"/>
      <c r="P5" s="228"/>
      <c r="Q5" s="270"/>
      <c r="R5" s="270"/>
      <c r="S5" s="225"/>
      <c r="T5" s="225"/>
      <c r="U5" s="269"/>
      <c r="W5" s="215"/>
      <c r="X5" s="96"/>
      <c r="Y5" s="101"/>
    </row>
    <row r="6" spans="11:25" s="268" customFormat="1" ht="11.25" customHeight="1">
      <c r="K6" s="160"/>
      <c r="L6" s="160"/>
      <c r="M6" s="160"/>
      <c r="N6" s="160"/>
      <c r="O6" s="267"/>
      <c r="P6" s="160"/>
      <c r="Q6" s="160"/>
      <c r="R6" s="271"/>
      <c r="S6" s="267"/>
      <c r="T6" s="272"/>
      <c r="U6" s="160"/>
      <c r="V6" s="160"/>
      <c r="W6" s="242"/>
      <c r="X6" s="160"/>
      <c r="Y6" s="160"/>
    </row>
    <row r="7" spans="11:25" s="268" customFormat="1" ht="15">
      <c r="K7" s="273" t="s">
        <v>243</v>
      </c>
      <c r="L7" s="273"/>
      <c r="M7" s="273"/>
      <c r="N7" s="273"/>
      <c r="P7" s="274"/>
      <c r="Q7" s="274"/>
      <c r="R7" s="274"/>
      <c r="S7" s="275"/>
      <c r="T7" s="274"/>
      <c r="U7" s="160"/>
      <c r="V7" s="160"/>
      <c r="W7" s="276"/>
      <c r="X7" s="242"/>
      <c r="Y7" s="160"/>
    </row>
    <row r="8" spans="11:25" s="571" customFormat="1" ht="15.75" customHeight="1">
      <c r="K8" s="1470" t="s">
        <v>60</v>
      </c>
      <c r="L8" s="1471"/>
      <c r="M8" s="587" t="s">
        <v>155</v>
      </c>
      <c r="N8" s="588" t="s">
        <v>155</v>
      </c>
      <c r="O8" s="1479" t="s">
        <v>242</v>
      </c>
      <c r="P8" s="1480"/>
      <c r="Q8" s="1481"/>
      <c r="R8" s="1479" t="s">
        <v>304</v>
      </c>
      <c r="S8" s="1487" t="s">
        <v>156</v>
      </c>
      <c r="T8" s="1487"/>
      <c r="U8" s="1488"/>
      <c r="V8" s="1489" t="s">
        <v>161</v>
      </c>
      <c r="W8" s="1476" t="s">
        <v>149</v>
      </c>
      <c r="X8" s="589"/>
      <c r="Y8" s="570"/>
    </row>
    <row r="9" spans="11:25" s="571" customFormat="1" ht="16.5" customHeight="1">
      <c r="K9" s="1470"/>
      <c r="L9" s="1471"/>
      <c r="M9" s="590"/>
      <c r="N9" s="591"/>
      <c r="O9" s="1482"/>
      <c r="P9" s="1483"/>
      <c r="Q9" s="1484"/>
      <c r="R9" s="1485"/>
      <c r="S9" s="1487"/>
      <c r="T9" s="1487"/>
      <c r="U9" s="1488"/>
      <c r="V9" s="1490"/>
      <c r="W9" s="1476"/>
      <c r="X9" s="589"/>
      <c r="Y9" s="570"/>
    </row>
    <row r="10" spans="11:25" s="571" customFormat="1" ht="14.25" customHeight="1">
      <c r="K10" s="1470"/>
      <c r="L10" s="1471"/>
      <c r="M10" s="590" t="s">
        <v>157</v>
      </c>
      <c r="N10" s="591" t="s">
        <v>158</v>
      </c>
      <c r="O10" s="1474" t="s">
        <v>62</v>
      </c>
      <c r="P10" s="592" t="s">
        <v>63</v>
      </c>
      <c r="Q10" s="592" t="s">
        <v>61</v>
      </c>
      <c r="R10" s="1486"/>
      <c r="S10" s="1472" t="s">
        <v>62</v>
      </c>
      <c r="T10" s="586" t="s">
        <v>63</v>
      </c>
      <c r="U10" s="592" t="s">
        <v>61</v>
      </c>
      <c r="V10" s="1491"/>
      <c r="W10" s="1476"/>
      <c r="X10" s="570"/>
      <c r="Y10" s="570"/>
    </row>
    <row r="11" spans="11:25" s="571" customFormat="1" ht="15" customHeight="1">
      <c r="K11" s="850"/>
      <c r="L11" s="593"/>
      <c r="M11" s="593"/>
      <c r="N11" s="594" t="s">
        <v>64</v>
      </c>
      <c r="O11" s="1475"/>
      <c r="P11" s="595" t="s">
        <v>65</v>
      </c>
      <c r="Q11" s="595" t="s">
        <v>329</v>
      </c>
      <c r="R11" s="1486"/>
      <c r="S11" s="1473"/>
      <c r="T11" s="596" t="s">
        <v>196</v>
      </c>
      <c r="U11" s="947" t="s">
        <v>305</v>
      </c>
      <c r="V11" s="597" t="s">
        <v>306</v>
      </c>
      <c r="W11" s="855" t="s">
        <v>307</v>
      </c>
      <c r="X11" s="570"/>
      <c r="Y11" s="570"/>
    </row>
    <row r="12" spans="11:25" s="268" customFormat="1" ht="15.75" customHeight="1">
      <c r="K12" s="1477" t="s">
        <v>67</v>
      </c>
      <c r="L12" s="1478"/>
      <c r="M12" s="598">
        <f>M13+M17+M20+M31+M35+M41+M46+M57+M62+M70+M75+M79+M88+M90+M93+M97+M102+M106+M108+M112+M115+M120</f>
        <v>3405794955.36</v>
      </c>
      <c r="N12" s="598">
        <f>N13+N17+N20+N31+N35+N41+N46+N57+N62+N70+N75+N79+N88+N90+N93+N97+N102+N106+N108+N112+N115+N120</f>
        <v>3448622556.4300003</v>
      </c>
      <c r="O12" s="598">
        <f>O13+O17+O20+O31+O35+O41+O46+O57+O62+O70+O75+O79+O88+O90+O93+O97+O102+O106+O108+O112+O115+O120</f>
        <v>2083492673.7800002</v>
      </c>
      <c r="P12" s="598">
        <f>P13+P17+P20+P31+P35+P41+P46+P57+P62+P70+P75+P79+P88+P90+P93+P97+P102+P106+P108+P112+P115+P120</f>
        <v>2083492673.7800002</v>
      </c>
      <c r="Q12" s="599">
        <f>P12/P126*100</f>
        <v>96.65715681968604</v>
      </c>
      <c r="R12" s="598">
        <f>R13+R17+R20+R31+R35+R41+R46+R57+R62+R70+R75+R79+R88+R90+R93+R97+R102+R106+R108+R112+R115+R120</f>
        <v>1365129882.6499999</v>
      </c>
      <c r="S12" s="600">
        <f>S13+S17+S20+S31+S35+S41+S46+S57+S62+S70+S75+S79+S88+S90+S93+S97+S102+S106+S108+S112+S115+S120</f>
        <v>283078982.84</v>
      </c>
      <c r="T12" s="601">
        <f>T13+T17+T20+T31+T35+T41+T46+T57+T62+T70+T75+T79+T88+T90+T93+T97+T102+T106+T108+T112+T115+T120</f>
        <v>283078982.84</v>
      </c>
      <c r="U12" s="946">
        <f>T12/T126*100</f>
        <v>96.57967064860868</v>
      </c>
      <c r="V12" s="598">
        <f>V13+V17+V20+V31+V35+V41+V46+V57+V62+V70+V75+V79+V88+V90+V93+V97+V102+V106+V108+V112+V115+V120</f>
        <v>3165543573.5899997</v>
      </c>
      <c r="W12" s="856">
        <f>W13+W17+W20+W31+W35+W41+W46+W57+W62+W70+W75+W79+W88+W90+W93+W97+W102+W106+W108+W112+W115+W120</f>
        <v>0</v>
      </c>
      <c r="X12" s="274"/>
      <c r="Y12" s="255"/>
    </row>
    <row r="13" spans="11:24" s="570" customFormat="1" ht="18" customHeight="1">
      <c r="K13" s="1465" t="s">
        <v>68</v>
      </c>
      <c r="L13" s="1466"/>
      <c r="M13" s="602">
        <f>M16+M14+M15</f>
        <v>105135509</v>
      </c>
      <c r="N13" s="602">
        <f>N14+N15+N16</f>
        <v>105135509</v>
      </c>
      <c r="O13" s="602">
        <f>O16+O14+O15</f>
        <v>0</v>
      </c>
      <c r="P13" s="603">
        <f>P16+P14+P15</f>
        <v>0</v>
      </c>
      <c r="Q13" s="604">
        <f>P13/P126*100</f>
        <v>0</v>
      </c>
      <c r="R13" s="605">
        <f>R16+R14+R15</f>
        <v>105135509</v>
      </c>
      <c r="S13" s="606">
        <f>S16+S14+S15</f>
        <v>0</v>
      </c>
      <c r="T13" s="605">
        <f>T16+T14+T15</f>
        <v>0</v>
      </c>
      <c r="U13" s="604">
        <f>T13/T126*100</f>
        <v>0</v>
      </c>
      <c r="V13" s="602">
        <f>V16+V14+V15</f>
        <v>105135509</v>
      </c>
      <c r="W13" s="606">
        <f>W16+W14+W15</f>
        <v>0</v>
      </c>
      <c r="X13" s="274"/>
    </row>
    <row r="14" spans="11:25" s="160" customFormat="1" ht="18" customHeight="1">
      <c r="K14" s="1453" t="s">
        <v>69</v>
      </c>
      <c r="L14" s="1460"/>
      <c r="M14" s="607">
        <v>21324173.66</v>
      </c>
      <c r="N14" s="607">
        <f>M14</f>
        <v>21324173.66</v>
      </c>
      <c r="O14" s="103">
        <f>P14</f>
        <v>0</v>
      </c>
      <c r="P14" s="608"/>
      <c r="Q14" s="1230">
        <f>P14/P126*100</f>
        <v>0</v>
      </c>
      <c r="R14" s="610">
        <f>N14-P14</f>
        <v>21324173.66</v>
      </c>
      <c r="S14" s="108">
        <f>T14</f>
        <v>0</v>
      </c>
      <c r="T14" s="611"/>
      <c r="U14" s="1230">
        <f>T14/T126*100</f>
        <v>0</v>
      </c>
      <c r="V14" s="607">
        <f>N14-T14</f>
        <v>21324173.66</v>
      </c>
      <c r="W14" s="693"/>
      <c r="X14" s="274"/>
      <c r="Y14" s="255"/>
    </row>
    <row r="15" spans="11:24" s="160" customFormat="1" ht="18" customHeight="1">
      <c r="K15" s="1453" t="s">
        <v>70</v>
      </c>
      <c r="L15" s="1460"/>
      <c r="M15" s="607">
        <v>83811335.34</v>
      </c>
      <c r="N15" s="607">
        <f>M15</f>
        <v>83811335.34</v>
      </c>
      <c r="O15" s="103">
        <f>P15</f>
        <v>0</v>
      </c>
      <c r="P15" s="608"/>
      <c r="Q15" s="1230">
        <f>P15/P126*100</f>
        <v>0</v>
      </c>
      <c r="R15" s="613">
        <f>N15-P15</f>
        <v>83811335.34</v>
      </c>
      <c r="S15" s="614">
        <f>T15</f>
        <v>0</v>
      </c>
      <c r="T15" s="611"/>
      <c r="U15" s="1230">
        <f>T15/T126*100</f>
        <v>0</v>
      </c>
      <c r="V15" s="607">
        <f>N15-T15</f>
        <v>83811335.34</v>
      </c>
      <c r="W15" s="693"/>
      <c r="X15" s="274"/>
    </row>
    <row r="16" spans="11:24" s="160" customFormat="1" ht="18" customHeight="1">
      <c r="K16" s="1455" t="s">
        <v>479</v>
      </c>
      <c r="L16" s="1462"/>
      <c r="M16" s="616"/>
      <c r="N16" s="607"/>
      <c r="O16" s="103"/>
      <c r="P16" s="608"/>
      <c r="Q16" s="1231"/>
      <c r="R16" s="613"/>
      <c r="S16" s="614"/>
      <c r="T16" s="617"/>
      <c r="U16" s="1231"/>
      <c r="V16" s="607"/>
      <c r="W16" s="689"/>
      <c r="X16" s="274"/>
    </row>
    <row r="17" spans="11:25" s="571" customFormat="1" ht="18" customHeight="1">
      <c r="K17" s="1465" t="s">
        <v>71</v>
      </c>
      <c r="L17" s="1466"/>
      <c r="M17" s="602">
        <f>M19+M18</f>
        <v>1365631.12</v>
      </c>
      <c r="N17" s="602">
        <f>N18+N19</f>
        <v>1365631.12</v>
      </c>
      <c r="O17" s="256">
        <f>O18+O19</f>
        <v>478470.35</v>
      </c>
      <c r="P17" s="603">
        <f>P19+P18</f>
        <v>478470.35</v>
      </c>
      <c r="Q17" s="604">
        <f>P17/P126*100</f>
        <v>0.02219714244044586</v>
      </c>
      <c r="R17" s="619">
        <f>R19+R18</f>
        <v>887160.7700000001</v>
      </c>
      <c r="S17" s="620">
        <f>S18+S19</f>
        <v>18415.29</v>
      </c>
      <c r="T17" s="605">
        <f>T19+T18</f>
        <v>18415.29</v>
      </c>
      <c r="U17" s="604">
        <f>T17/T126*100</f>
        <v>0.006282849490468436</v>
      </c>
      <c r="V17" s="602">
        <f>V19+V18</f>
        <v>1347215.83</v>
      </c>
      <c r="W17" s="642">
        <f>W18+W19</f>
        <v>0</v>
      </c>
      <c r="X17" s="572"/>
      <c r="Y17" s="570"/>
    </row>
    <row r="18" spans="11:25" s="268" customFormat="1" ht="18" customHeight="1">
      <c r="K18" s="1453" t="s">
        <v>72</v>
      </c>
      <c r="L18" s="1460"/>
      <c r="M18" s="612">
        <v>1365631.12</v>
      </c>
      <c r="N18" s="622">
        <f>M18</f>
        <v>1365631.12</v>
      </c>
      <c r="O18" s="103">
        <f>P18</f>
        <v>478470.35</v>
      </c>
      <c r="P18" s="103">
        <v>478470.35</v>
      </c>
      <c r="Q18" s="1230">
        <f>P18/P126*100</f>
        <v>0.02219714244044586</v>
      </c>
      <c r="R18" s="610">
        <f>N18-P18</f>
        <v>887160.7700000001</v>
      </c>
      <c r="S18" s="108">
        <f>T18</f>
        <v>18415.29</v>
      </c>
      <c r="T18" s="108">
        <v>18415.29</v>
      </c>
      <c r="U18" s="1230">
        <f>T18/T126*100</f>
        <v>0.006282849490468436</v>
      </c>
      <c r="V18" s="607">
        <f>N18-T18</f>
        <v>1347215.83</v>
      </c>
      <c r="W18" s="693"/>
      <c r="X18" s="274"/>
      <c r="Y18" s="160"/>
    </row>
    <row r="19" spans="11:25" s="268" customFormat="1" ht="18" customHeight="1">
      <c r="K19" s="1455" t="s">
        <v>73</v>
      </c>
      <c r="L19" s="1462"/>
      <c r="M19" s="607"/>
      <c r="N19" s="616"/>
      <c r="O19" s="103"/>
      <c r="P19" s="623"/>
      <c r="Q19" s="1231"/>
      <c r="R19" s="624"/>
      <c r="S19" s="108"/>
      <c r="T19" s="617"/>
      <c r="U19" s="1231"/>
      <c r="V19" s="625"/>
      <c r="W19" s="689"/>
      <c r="X19" s="274"/>
      <c r="Y19" s="160"/>
    </row>
    <row r="20" spans="11:25" s="571" customFormat="1" ht="18" customHeight="1">
      <c r="K20" s="1451" t="s">
        <v>74</v>
      </c>
      <c r="L20" s="1458"/>
      <c r="M20" s="602">
        <f aca="true" t="shared" si="0" ref="M20:V20">SUM(M21:M30)</f>
        <v>506404748.28</v>
      </c>
      <c r="N20" s="569">
        <f t="shared" si="0"/>
        <v>506404748.28</v>
      </c>
      <c r="O20" s="602">
        <f>SUM(O21:O30)</f>
        <v>383975961.32</v>
      </c>
      <c r="P20" s="569">
        <f t="shared" si="0"/>
        <v>383975961.32</v>
      </c>
      <c r="Q20" s="604">
        <f>P20/P126*100</f>
        <v>17.813369432666352</v>
      </c>
      <c r="R20" s="626">
        <f t="shared" si="0"/>
        <v>122428786.96</v>
      </c>
      <c r="S20" s="620">
        <f>SUM(S21:S30)</f>
        <v>49736839.58</v>
      </c>
      <c r="T20" s="569">
        <f t="shared" si="0"/>
        <v>49736839.58</v>
      </c>
      <c r="U20" s="604">
        <f>T20/T126*100</f>
        <v>16.96900115136462</v>
      </c>
      <c r="V20" s="569">
        <f t="shared" si="0"/>
        <v>456667908.7</v>
      </c>
      <c r="W20" s="642">
        <f>SUM(W21:W30)</f>
        <v>0</v>
      </c>
      <c r="X20" s="572"/>
      <c r="Y20" s="570"/>
    </row>
    <row r="21" spans="11:25" s="268" customFormat="1" ht="18" customHeight="1">
      <c r="K21" s="1453" t="s">
        <v>75</v>
      </c>
      <c r="L21" s="1460"/>
      <c r="M21" s="607">
        <v>10397015.52</v>
      </c>
      <c r="N21" s="241">
        <f aca="true" t="shared" si="1" ref="N21:N29">M21</f>
        <v>10397015.52</v>
      </c>
      <c r="O21" s="103">
        <f aca="true" t="shared" si="2" ref="O21:O29">P21</f>
        <v>595579.2</v>
      </c>
      <c r="P21" s="103">
        <v>595579.2</v>
      </c>
      <c r="Q21" s="1230">
        <f>P21/P126*100</f>
        <v>0.02763004298378529</v>
      </c>
      <c r="R21" s="610">
        <f aca="true" t="shared" si="3" ref="R21:R29">N21-P21</f>
        <v>9801436.32</v>
      </c>
      <c r="S21" s="108">
        <f aca="true" t="shared" si="4" ref="S21:S29">T21</f>
        <v>521392.22</v>
      </c>
      <c r="T21" s="108">
        <v>521392.22</v>
      </c>
      <c r="U21" s="1230">
        <f>T21/T126*100</f>
        <v>0.17788635659613325</v>
      </c>
      <c r="V21" s="607">
        <f aca="true" t="shared" si="5" ref="V21:V29">N21-T21</f>
        <v>9875623.299999999</v>
      </c>
      <c r="W21" s="693"/>
      <c r="X21" s="274"/>
      <c r="Y21" s="271"/>
    </row>
    <row r="22" spans="11:25" s="633" customFormat="1" ht="18" customHeight="1">
      <c r="K22" s="1468" t="s">
        <v>70</v>
      </c>
      <c r="L22" s="1469"/>
      <c r="M22" s="628">
        <v>451652252.9</v>
      </c>
      <c r="N22" s="629">
        <f t="shared" si="1"/>
        <v>451652252.9</v>
      </c>
      <c r="O22" s="103">
        <f t="shared" si="2"/>
        <v>363114773.21</v>
      </c>
      <c r="P22" s="103">
        <v>363114773.21</v>
      </c>
      <c r="Q22" s="1230">
        <f>P22/P126*100</f>
        <v>16.845579549856254</v>
      </c>
      <c r="R22" s="610">
        <f t="shared" si="3"/>
        <v>88537479.69</v>
      </c>
      <c r="S22" s="944">
        <f t="shared" si="4"/>
        <v>47177907.29</v>
      </c>
      <c r="T22" s="944">
        <v>47177907.29</v>
      </c>
      <c r="U22" s="1230">
        <f>T22/T126*100</f>
        <v>16.095955631344584</v>
      </c>
      <c r="V22" s="607">
        <f t="shared" si="5"/>
        <v>404474345.60999995</v>
      </c>
      <c r="W22" s="693"/>
      <c r="X22" s="631"/>
      <c r="Y22" s="632"/>
    </row>
    <row r="23" spans="11:25" s="268" customFormat="1" ht="18" customHeight="1">
      <c r="K23" s="1453" t="s">
        <v>76</v>
      </c>
      <c r="L23" s="1460"/>
      <c r="M23" s="607">
        <v>11240134.68</v>
      </c>
      <c r="N23" s="241">
        <f t="shared" si="1"/>
        <v>11240134.68</v>
      </c>
      <c r="O23" s="103">
        <f t="shared" si="2"/>
        <v>4999577</v>
      </c>
      <c r="P23" s="103">
        <v>4999577</v>
      </c>
      <c r="Q23" s="1230">
        <f>P23/P126*100</f>
        <v>0.2319398115494032</v>
      </c>
      <c r="R23" s="610">
        <f t="shared" si="3"/>
        <v>6240557.68</v>
      </c>
      <c r="S23" s="108">
        <f t="shared" si="4"/>
        <v>58858.22</v>
      </c>
      <c r="T23" s="108">
        <v>58858.22</v>
      </c>
      <c r="U23" s="1230">
        <f>T23/T126*100</f>
        <v>0.02008099451797279</v>
      </c>
      <c r="V23" s="607">
        <f t="shared" si="5"/>
        <v>11181276.459999999</v>
      </c>
      <c r="W23" s="693"/>
      <c r="X23" s="274"/>
      <c r="Y23" s="160"/>
    </row>
    <row r="24" spans="11:25" s="268" customFormat="1" ht="18" customHeight="1">
      <c r="K24" s="1453" t="s">
        <v>77</v>
      </c>
      <c r="L24" s="1460"/>
      <c r="M24" s="607">
        <v>11726317.62</v>
      </c>
      <c r="N24" s="241">
        <f t="shared" si="1"/>
        <v>11726317.62</v>
      </c>
      <c r="O24" s="103">
        <f t="shared" si="2"/>
        <v>11156667.91</v>
      </c>
      <c r="P24" s="103">
        <v>11156667.91</v>
      </c>
      <c r="Q24" s="1230">
        <f>P24/P126*100</f>
        <v>0.5175788776859871</v>
      </c>
      <c r="R24" s="610">
        <f t="shared" si="3"/>
        <v>569649.709999999</v>
      </c>
      <c r="S24" s="108">
        <f t="shared" si="4"/>
        <v>1653041.21</v>
      </c>
      <c r="T24" s="108">
        <v>1653041.21</v>
      </c>
      <c r="U24" s="1230">
        <f>T24/T126*100</f>
        <v>0.5639774950039791</v>
      </c>
      <c r="V24" s="607">
        <f t="shared" si="5"/>
        <v>10073276.41</v>
      </c>
      <c r="W24" s="693"/>
      <c r="X24" s="274"/>
      <c r="Y24" s="160"/>
    </row>
    <row r="25" spans="11:25" s="268" customFormat="1" ht="18" customHeight="1">
      <c r="K25" s="851" t="s">
        <v>78</v>
      </c>
      <c r="L25" s="655"/>
      <c r="M25" s="607">
        <v>8946847.63</v>
      </c>
      <c r="N25" s="241">
        <f t="shared" si="1"/>
        <v>8946847.63</v>
      </c>
      <c r="O25" s="103">
        <f t="shared" si="2"/>
        <v>2552000</v>
      </c>
      <c r="P25" s="103">
        <v>2552000</v>
      </c>
      <c r="Q25" s="1230">
        <f>P25/P126*100</f>
        <v>0.1183920957861189</v>
      </c>
      <c r="R25" s="610">
        <f t="shared" si="3"/>
        <v>6394847.630000001</v>
      </c>
      <c r="S25" s="108">
        <f t="shared" si="4"/>
        <v>0</v>
      </c>
      <c r="T25" s="108">
        <v>0</v>
      </c>
      <c r="U25" s="1230">
        <f>T25/T126*100</f>
        <v>0</v>
      </c>
      <c r="V25" s="607">
        <f t="shared" si="5"/>
        <v>8946847.63</v>
      </c>
      <c r="W25" s="693"/>
      <c r="X25" s="274"/>
      <c r="Y25" s="160"/>
    </row>
    <row r="26" spans="11:25" s="268" customFormat="1" ht="18" customHeight="1">
      <c r="K26" s="851" t="s">
        <v>79</v>
      </c>
      <c r="L26" s="655"/>
      <c r="M26" s="607">
        <v>1408186.93</v>
      </c>
      <c r="N26" s="241">
        <f t="shared" si="1"/>
        <v>1408186.93</v>
      </c>
      <c r="O26" s="103">
        <f t="shared" si="2"/>
        <v>179364</v>
      </c>
      <c r="P26" s="103">
        <v>179364</v>
      </c>
      <c r="Q26" s="1230">
        <f>P26/P126*100</f>
        <v>0.008321034431262317</v>
      </c>
      <c r="R26" s="610">
        <f t="shared" si="3"/>
        <v>1228822.93</v>
      </c>
      <c r="S26" s="108">
        <f t="shared" si="4"/>
        <v>0</v>
      </c>
      <c r="T26" s="108">
        <v>0</v>
      </c>
      <c r="U26" s="1230">
        <f>T26/T126*100</f>
        <v>0</v>
      </c>
      <c r="V26" s="607">
        <f t="shared" si="5"/>
        <v>1408186.93</v>
      </c>
      <c r="W26" s="693"/>
      <c r="X26" s="274"/>
      <c r="Y26" s="160"/>
    </row>
    <row r="27" spans="11:25" s="268" customFormat="1" ht="18" customHeight="1">
      <c r="K27" s="851" t="s">
        <v>764</v>
      </c>
      <c r="L27" s="655"/>
      <c r="M27" s="607">
        <v>10603993</v>
      </c>
      <c r="N27" s="241">
        <f t="shared" si="1"/>
        <v>10603993</v>
      </c>
      <c r="O27" s="103">
        <f t="shared" si="2"/>
        <v>1378000</v>
      </c>
      <c r="P27" s="103">
        <v>1378000</v>
      </c>
      <c r="Q27" s="1230">
        <f>P27/P126*100</f>
        <v>0.06392802037353913</v>
      </c>
      <c r="R27" s="610">
        <f t="shared" si="3"/>
        <v>9225993</v>
      </c>
      <c r="S27" s="108">
        <f t="shared" si="4"/>
        <v>325640.64</v>
      </c>
      <c r="T27" s="108">
        <v>325640.64</v>
      </c>
      <c r="U27" s="1230">
        <f>T27/T126*100</f>
        <v>0.11110067390194864</v>
      </c>
      <c r="V27" s="607">
        <f t="shared" si="5"/>
        <v>10278352.36</v>
      </c>
      <c r="W27" s="693"/>
      <c r="X27" s="274"/>
      <c r="Y27" s="160"/>
    </row>
    <row r="28" spans="11:25" s="268" customFormat="1" ht="18" customHeight="1">
      <c r="K28" s="851" t="s">
        <v>480</v>
      </c>
      <c r="L28" s="655"/>
      <c r="M28" s="607">
        <v>390000</v>
      </c>
      <c r="N28" s="241">
        <f t="shared" si="1"/>
        <v>390000</v>
      </c>
      <c r="O28" s="103">
        <f t="shared" si="2"/>
        <v>0</v>
      </c>
      <c r="P28" s="103"/>
      <c r="Q28" s="1230">
        <f>P28/P126*100</f>
        <v>0</v>
      </c>
      <c r="R28" s="610">
        <f t="shared" si="3"/>
        <v>390000</v>
      </c>
      <c r="S28" s="108">
        <f t="shared" si="4"/>
        <v>0</v>
      </c>
      <c r="T28" s="108"/>
      <c r="U28" s="1230">
        <f>T28/T126*100</f>
        <v>0</v>
      </c>
      <c r="V28" s="607">
        <f t="shared" si="5"/>
        <v>390000</v>
      </c>
      <c r="W28" s="693"/>
      <c r="X28" s="274"/>
      <c r="Y28" s="160"/>
    </row>
    <row r="29" spans="11:25" s="268" customFormat="1" ht="18" customHeight="1">
      <c r="K29" s="851" t="s">
        <v>769</v>
      </c>
      <c r="L29" s="655"/>
      <c r="M29" s="607">
        <v>40000</v>
      </c>
      <c r="N29" s="241">
        <f t="shared" si="1"/>
        <v>40000</v>
      </c>
      <c r="O29" s="103">
        <f t="shared" si="2"/>
        <v>0</v>
      </c>
      <c r="P29" s="608"/>
      <c r="Q29" s="1230">
        <f>P29/P126*100</f>
        <v>0</v>
      </c>
      <c r="R29" s="610">
        <f t="shared" si="3"/>
        <v>40000</v>
      </c>
      <c r="S29" s="108">
        <f t="shared" si="4"/>
        <v>0</v>
      </c>
      <c r="T29" s="611"/>
      <c r="U29" s="1230">
        <f>T29/T126*100</f>
        <v>0</v>
      </c>
      <c r="V29" s="607">
        <f t="shared" si="5"/>
        <v>40000</v>
      </c>
      <c r="W29" s="693"/>
      <c r="X29" s="274"/>
      <c r="Y29" s="160"/>
    </row>
    <row r="30" spans="11:25" s="636" customFormat="1" ht="18" customHeight="1">
      <c r="K30" s="852" t="s">
        <v>282</v>
      </c>
      <c r="L30" s="649"/>
      <c r="M30" s="616"/>
      <c r="N30" s="616"/>
      <c r="O30" s="103"/>
      <c r="P30" s="608"/>
      <c r="Q30" s="1231"/>
      <c r="R30" s="610"/>
      <c r="S30" s="108"/>
      <c r="T30" s="611"/>
      <c r="U30" s="1231"/>
      <c r="V30" s="625"/>
      <c r="W30" s="689"/>
      <c r="X30" s="635"/>
      <c r="Y30" s="242"/>
    </row>
    <row r="31" spans="11:25" s="571" customFormat="1" ht="18" customHeight="1">
      <c r="K31" s="1451" t="s">
        <v>80</v>
      </c>
      <c r="L31" s="1458"/>
      <c r="M31" s="637">
        <f aca="true" t="shared" si="6" ref="M31:R31">M34+M32+M33</f>
        <v>1336125.16</v>
      </c>
      <c r="N31" s="621">
        <f t="shared" si="6"/>
        <v>1336125.16</v>
      </c>
      <c r="O31" s="257">
        <f t="shared" si="6"/>
        <v>0</v>
      </c>
      <c r="P31" s="638">
        <f t="shared" si="6"/>
        <v>0</v>
      </c>
      <c r="Q31" s="604">
        <f>P31/P126*100</f>
        <v>0</v>
      </c>
      <c r="R31" s="639">
        <f t="shared" si="6"/>
        <v>1336125.16</v>
      </c>
      <c r="S31" s="640">
        <f>S34+S32+S33</f>
        <v>0</v>
      </c>
      <c r="T31" s="641">
        <f>T32+T33+T34</f>
        <v>0</v>
      </c>
      <c r="U31" s="604">
        <f>T31/T126*100</f>
        <v>0</v>
      </c>
      <c r="V31" s="642">
        <f>V32+V33+V34</f>
        <v>1336125.16</v>
      </c>
      <c r="W31" s="642">
        <f>W32+W33+W34</f>
        <v>0</v>
      </c>
      <c r="X31" s="572"/>
      <c r="Y31" s="570"/>
    </row>
    <row r="32" spans="11:25" s="268" customFormat="1" ht="18" customHeight="1">
      <c r="K32" s="1453" t="s">
        <v>70</v>
      </c>
      <c r="L32" s="1460"/>
      <c r="M32" s="607"/>
      <c r="N32" s="612"/>
      <c r="O32" s="103"/>
      <c r="P32" s="630"/>
      <c r="Q32" s="1230"/>
      <c r="R32" s="610"/>
      <c r="S32" s="108"/>
      <c r="T32" s="643"/>
      <c r="U32" s="1230"/>
      <c r="V32" s="607"/>
      <c r="W32" s="693"/>
      <c r="X32" s="274"/>
      <c r="Y32" s="160"/>
    </row>
    <row r="33" spans="11:25" s="268" customFormat="1" ht="18" customHeight="1">
      <c r="K33" s="1453" t="s">
        <v>81</v>
      </c>
      <c r="L33" s="1460"/>
      <c r="M33" s="607">
        <v>1336125.16</v>
      </c>
      <c r="N33" s="612">
        <f>M33</f>
        <v>1336125.16</v>
      </c>
      <c r="O33" s="103">
        <f>P33</f>
        <v>0</v>
      </c>
      <c r="P33" s="103"/>
      <c r="Q33" s="1230">
        <f>P33/P126*100</f>
        <v>0</v>
      </c>
      <c r="R33" s="610">
        <f>N33-P33</f>
        <v>1336125.16</v>
      </c>
      <c r="S33" s="108">
        <f>T33</f>
        <v>0</v>
      </c>
      <c r="T33" s="108"/>
      <c r="U33" s="1230">
        <f>T33/T126*100</f>
        <v>0</v>
      </c>
      <c r="V33" s="607">
        <f>N33-T33</f>
        <v>1336125.16</v>
      </c>
      <c r="W33" s="693"/>
      <c r="X33" s="274"/>
      <c r="Y33" s="160"/>
    </row>
    <row r="34" spans="11:25" s="268" customFormat="1" ht="18" customHeight="1">
      <c r="K34" s="1455" t="s">
        <v>82</v>
      </c>
      <c r="L34" s="1462"/>
      <c r="M34" s="616"/>
      <c r="N34" s="612"/>
      <c r="O34" s="103"/>
      <c r="P34" s="644"/>
      <c r="Q34" s="1231"/>
      <c r="R34" s="624"/>
      <c r="S34" s="108"/>
      <c r="T34" s="645"/>
      <c r="U34" s="1231"/>
      <c r="V34" s="625"/>
      <c r="W34" s="693"/>
      <c r="X34" s="274"/>
      <c r="Y34" s="160"/>
    </row>
    <row r="35" spans="11:25" s="571" customFormat="1" ht="18" customHeight="1">
      <c r="K35" s="1451" t="s">
        <v>83</v>
      </c>
      <c r="L35" s="1458"/>
      <c r="M35" s="603">
        <f aca="true" t="shared" si="7" ref="M35:V35">M36+M37+M38+M39+M40</f>
        <v>52110854.87</v>
      </c>
      <c r="N35" s="603">
        <f t="shared" si="7"/>
        <v>52110854.87</v>
      </c>
      <c r="O35" s="646">
        <f t="shared" si="7"/>
        <v>24109323.19</v>
      </c>
      <c r="P35" s="647">
        <f t="shared" si="7"/>
        <v>24109323.19</v>
      </c>
      <c r="Q35" s="604">
        <f>P35/P126*100</f>
        <v>1.1184769986085337</v>
      </c>
      <c r="R35" s="648">
        <f t="shared" si="7"/>
        <v>28001531.68</v>
      </c>
      <c r="S35" s="640">
        <f>S36+S37+S38+S39+S40</f>
        <v>4180718.16</v>
      </c>
      <c r="T35" s="569">
        <f t="shared" si="7"/>
        <v>4180718.16</v>
      </c>
      <c r="U35" s="604">
        <f>T35/T126*100</f>
        <v>1.4263594524630423</v>
      </c>
      <c r="V35" s="647">
        <f t="shared" si="7"/>
        <v>47930136.71</v>
      </c>
      <c r="W35" s="606">
        <f>W36+W37+W38+W39+W40</f>
        <v>0</v>
      </c>
      <c r="X35" s="572"/>
      <c r="Y35" s="570"/>
    </row>
    <row r="36" spans="11:25" s="268" customFormat="1" ht="18" customHeight="1">
      <c r="K36" s="1453" t="s">
        <v>70</v>
      </c>
      <c r="L36" s="1460"/>
      <c r="M36" s="607">
        <v>22265312.08</v>
      </c>
      <c r="N36" s="607">
        <f>M36</f>
        <v>22265312.08</v>
      </c>
      <c r="O36" s="103">
        <f>P36</f>
        <v>17554900</v>
      </c>
      <c r="P36" s="103">
        <v>17554900</v>
      </c>
      <c r="Q36" s="1230">
        <f>P36/P126*100</f>
        <v>0.8144049382114963</v>
      </c>
      <c r="R36" s="610">
        <f>N36-P36</f>
        <v>4710412.079999998</v>
      </c>
      <c r="S36" s="108">
        <f>T36</f>
        <v>2767775.95</v>
      </c>
      <c r="T36" s="108">
        <v>2767775.95</v>
      </c>
      <c r="U36" s="1230">
        <f>T36/T126*100</f>
        <v>0.9442979022968572</v>
      </c>
      <c r="V36" s="607">
        <f>N36-T36</f>
        <v>19497536.13</v>
      </c>
      <c r="W36" s="693"/>
      <c r="X36" s="274"/>
      <c r="Y36" s="160"/>
    </row>
    <row r="37" spans="11:25" s="268" customFormat="1" ht="18" customHeight="1">
      <c r="K37" s="1453" t="s">
        <v>84</v>
      </c>
      <c r="L37" s="1460"/>
      <c r="M37" s="607">
        <v>230000</v>
      </c>
      <c r="N37" s="607">
        <f>M37</f>
        <v>230000</v>
      </c>
      <c r="O37" s="103">
        <f>P37</f>
        <v>0</v>
      </c>
      <c r="P37" s="103"/>
      <c r="Q37" s="1230">
        <f>P37/P126*100</f>
        <v>0</v>
      </c>
      <c r="R37" s="610">
        <f>N37-P37</f>
        <v>230000</v>
      </c>
      <c r="S37" s="108"/>
      <c r="T37" s="108"/>
      <c r="U37" s="1230">
        <f>T37/T126*100</f>
        <v>0</v>
      </c>
      <c r="V37" s="607">
        <f>N37-T37</f>
        <v>230000</v>
      </c>
      <c r="W37" s="693"/>
      <c r="X37" s="274"/>
      <c r="Y37" s="160"/>
    </row>
    <row r="38" spans="11:25" s="268" customFormat="1" ht="18" customHeight="1">
      <c r="K38" s="1453" t="s">
        <v>85</v>
      </c>
      <c r="L38" s="1460"/>
      <c r="M38" s="607"/>
      <c r="N38" s="607"/>
      <c r="O38" s="103"/>
      <c r="P38" s="103"/>
      <c r="Q38" s="1230"/>
      <c r="R38" s="610"/>
      <c r="S38" s="108"/>
      <c r="T38" s="108"/>
      <c r="U38" s="1230"/>
      <c r="V38" s="607"/>
      <c r="W38" s="693"/>
      <c r="X38" s="274"/>
      <c r="Y38" s="160"/>
    </row>
    <row r="39" spans="11:25" s="268" customFormat="1" ht="18" customHeight="1">
      <c r="K39" s="1453" t="s">
        <v>283</v>
      </c>
      <c r="L39" s="1460"/>
      <c r="M39" s="607">
        <v>9957699.4</v>
      </c>
      <c r="N39" s="607">
        <f>M39</f>
        <v>9957699.4</v>
      </c>
      <c r="O39" s="103">
        <f>P39</f>
        <v>195400</v>
      </c>
      <c r="P39" s="103">
        <v>195400</v>
      </c>
      <c r="Q39" s="1230">
        <f>P39/P126*100</f>
        <v>0.009064974732213025</v>
      </c>
      <c r="R39" s="610">
        <f>N39-P39</f>
        <v>9762299.4</v>
      </c>
      <c r="S39" s="108">
        <f>T39</f>
        <v>42944</v>
      </c>
      <c r="T39" s="108">
        <v>42944</v>
      </c>
      <c r="U39" s="1230">
        <f>T39/T126*100</f>
        <v>0.014651449340123154</v>
      </c>
      <c r="V39" s="607">
        <f>N39-T39</f>
        <v>9914755.4</v>
      </c>
      <c r="W39" s="693"/>
      <c r="X39" s="274"/>
      <c r="Y39" s="160"/>
    </row>
    <row r="40" spans="11:25" s="268" customFormat="1" ht="18" customHeight="1">
      <c r="K40" s="1461" t="s">
        <v>86</v>
      </c>
      <c r="L40" s="1462"/>
      <c r="M40" s="616">
        <v>19657843.39</v>
      </c>
      <c r="N40" s="607">
        <f>M40</f>
        <v>19657843.39</v>
      </c>
      <c r="O40" s="103">
        <f>P40</f>
        <v>6359023.19</v>
      </c>
      <c r="P40" s="103">
        <v>6359023.19</v>
      </c>
      <c r="Q40" s="1231">
        <f>P40/P126*100</f>
        <v>0.29500708566482425</v>
      </c>
      <c r="R40" s="610">
        <f>N40-P40</f>
        <v>13298820.2</v>
      </c>
      <c r="S40" s="108">
        <f>T40</f>
        <v>1369998.21</v>
      </c>
      <c r="T40" s="108">
        <v>1369998.21</v>
      </c>
      <c r="U40" s="1231">
        <f>T40/T126*100</f>
        <v>0.4674101008260619</v>
      </c>
      <c r="V40" s="607">
        <f>N40-T40</f>
        <v>18287845.18</v>
      </c>
      <c r="W40" s="693"/>
      <c r="X40" s="274"/>
      <c r="Y40" s="160"/>
    </row>
    <row r="41" spans="11:25" s="571" customFormat="1" ht="18" customHeight="1">
      <c r="K41" s="853" t="s">
        <v>87</v>
      </c>
      <c r="L41" s="651"/>
      <c r="M41" s="602">
        <f>M42+M43+M44+M45</f>
        <v>469764481</v>
      </c>
      <c r="N41" s="602">
        <f>N42+N43+N44+N45</f>
        <v>469764481</v>
      </c>
      <c r="O41" s="602">
        <f>O42+O43+O44+O45</f>
        <v>334683802.00000006</v>
      </c>
      <c r="P41" s="602">
        <f>P42+P43+P44+P45</f>
        <v>334683802.00000006</v>
      </c>
      <c r="Q41" s="604">
        <f>P41/P126*100</f>
        <v>15.526613144375572</v>
      </c>
      <c r="R41" s="602">
        <f>R42+R43+R44+R45</f>
        <v>135080678.99999997</v>
      </c>
      <c r="S41" s="602">
        <f>S42+S43+S44+S45</f>
        <v>55786686.8</v>
      </c>
      <c r="T41" s="602">
        <f>T42+T43+T44+T45</f>
        <v>55786686.8</v>
      </c>
      <c r="U41" s="604">
        <f>T41/T126*100</f>
        <v>19.033062022716027</v>
      </c>
      <c r="V41" s="602">
        <f>V42+V43+V44+V45</f>
        <v>413977794.20000005</v>
      </c>
      <c r="W41" s="602">
        <f>W42+W43+W44+W45</f>
        <v>0</v>
      </c>
      <c r="X41" s="572"/>
      <c r="Y41" s="570"/>
    </row>
    <row r="42" spans="11:25" s="268" customFormat="1" ht="18" customHeight="1">
      <c r="K42" s="851" t="s">
        <v>75</v>
      </c>
      <c r="L42" s="655"/>
      <c r="M42" s="607">
        <v>20560049</v>
      </c>
      <c r="N42" s="612">
        <f>M42</f>
        <v>20560049</v>
      </c>
      <c r="O42" s="103">
        <f>P42</f>
        <v>4908403.54</v>
      </c>
      <c r="P42" s="103">
        <v>4908403.54</v>
      </c>
      <c r="Q42" s="1230">
        <f>P42/P126*100</f>
        <v>0.22771010268989228</v>
      </c>
      <c r="R42" s="610">
        <f>N42-P42</f>
        <v>15651645.46</v>
      </c>
      <c r="S42" s="108">
        <f>T42</f>
        <v>1304433.89</v>
      </c>
      <c r="T42" s="108">
        <v>1304433.89</v>
      </c>
      <c r="U42" s="1230">
        <f>T42/T126*100</f>
        <v>0.44504114793393207</v>
      </c>
      <c r="V42" s="607">
        <f>N42-T42</f>
        <v>19255615.11</v>
      </c>
      <c r="W42" s="693"/>
      <c r="X42" s="274"/>
      <c r="Y42" s="160"/>
    </row>
    <row r="43" spans="11:25" s="268" customFormat="1" ht="18" customHeight="1">
      <c r="K43" s="851" t="s">
        <v>89</v>
      </c>
      <c r="L43" s="655"/>
      <c r="M43" s="607">
        <v>339147128</v>
      </c>
      <c r="N43" s="612">
        <f>M43</f>
        <v>339147128</v>
      </c>
      <c r="O43" s="103">
        <f>P43</f>
        <v>321338575.6</v>
      </c>
      <c r="P43" s="103">
        <v>321338575.6</v>
      </c>
      <c r="Q43" s="1230">
        <f>P43/P126*100</f>
        <v>14.907502908389583</v>
      </c>
      <c r="R43" s="610">
        <f>N43-P43</f>
        <v>17808552.399999976</v>
      </c>
      <c r="S43" s="944">
        <f>T43</f>
        <v>49067786.14</v>
      </c>
      <c r="T43" s="108">
        <v>49067786.14</v>
      </c>
      <c r="U43" s="1230">
        <f>T43/T126*100</f>
        <v>16.740736374399383</v>
      </c>
      <c r="V43" s="643">
        <f>N43-T43</f>
        <v>290079341.86</v>
      </c>
      <c r="W43" s="693"/>
      <c r="X43" s="274"/>
      <c r="Y43" s="160"/>
    </row>
    <row r="44" spans="11:25" s="268" customFormat="1" ht="18" customHeight="1">
      <c r="K44" s="851" t="s">
        <v>284</v>
      </c>
      <c r="L44" s="567"/>
      <c r="M44" s="914">
        <v>27748760</v>
      </c>
      <c r="N44" s="914">
        <f>M44</f>
        <v>27748760</v>
      </c>
      <c r="O44" s="103">
        <f>P44</f>
        <v>8436822.86</v>
      </c>
      <c r="P44" s="913">
        <v>8436822.86</v>
      </c>
      <c r="Q44" s="1230">
        <f>P44/P126*100</f>
        <v>0.3914001332960962</v>
      </c>
      <c r="R44" s="610">
        <f>N44-P44</f>
        <v>19311937.14</v>
      </c>
      <c r="S44" s="108">
        <f>T44</f>
        <v>5414466.77</v>
      </c>
      <c r="T44" s="108">
        <v>5414466.77</v>
      </c>
      <c r="U44" s="1230">
        <f>T44/T126*100</f>
        <v>1.8472845003827132</v>
      </c>
      <c r="V44" s="643">
        <f>N44-T44</f>
        <v>22334293.23</v>
      </c>
      <c r="W44" s="693"/>
      <c r="X44" s="274"/>
      <c r="Y44" s="160"/>
    </row>
    <row r="45" spans="11:25" s="268" customFormat="1" ht="18" customHeight="1">
      <c r="K45" s="854" t="s">
        <v>288</v>
      </c>
      <c r="L45" s="671"/>
      <c r="M45" s="650">
        <v>82308544</v>
      </c>
      <c r="N45" s="634">
        <f>M45</f>
        <v>82308544</v>
      </c>
      <c r="O45" s="683">
        <f>P45</f>
        <v>0</v>
      </c>
      <c r="P45" s="624">
        <v>0</v>
      </c>
      <c r="Q45" s="1231">
        <f>P45/P126*100</f>
        <v>0</v>
      </c>
      <c r="R45" s="624">
        <f>N45-P45</f>
        <v>82308544</v>
      </c>
      <c r="S45" s="691">
        <f>T45</f>
        <v>0</v>
      </c>
      <c r="T45" s="624">
        <v>0</v>
      </c>
      <c r="U45" s="1231">
        <f>T45/T126*100</f>
        <v>0</v>
      </c>
      <c r="V45" s="625">
        <f>N45-T45</f>
        <v>82308544</v>
      </c>
      <c r="W45" s="689"/>
      <c r="X45" s="274"/>
      <c r="Y45" s="160"/>
    </row>
    <row r="46" spans="11:25" s="571" customFormat="1" ht="18" customHeight="1">
      <c r="K46" s="857" t="s">
        <v>90</v>
      </c>
      <c r="L46" s="858"/>
      <c r="M46" s="621">
        <f>SUM(M47:M56)</f>
        <v>936588713.9999999</v>
      </c>
      <c r="N46" s="621">
        <f>SUM(N47:N56)</f>
        <v>979416315.0699999</v>
      </c>
      <c r="O46" s="652">
        <f>SUM(O47:O56)</f>
        <v>647358893.33</v>
      </c>
      <c r="P46" s="647">
        <f>SUM(P47:P56)</f>
        <v>647358893.33</v>
      </c>
      <c r="Q46" s="609">
        <f>P46/P126*100</f>
        <v>30.032200668934678</v>
      </c>
      <c r="R46" s="648">
        <f>SUM(R47:R56)</f>
        <v>332057421.74</v>
      </c>
      <c r="S46" s="653">
        <f>SUM(S47:S56)</f>
        <v>85356423.14999999</v>
      </c>
      <c r="T46" s="569">
        <f>SUM(T47:T56)</f>
        <v>85356423.14999999</v>
      </c>
      <c r="U46" s="609">
        <f>T46/T126*100</f>
        <v>29.121537575361867</v>
      </c>
      <c r="V46" s="647">
        <f>SUM(V47:V56)</f>
        <v>894059891.92</v>
      </c>
      <c r="W46" s="642">
        <f>SUM(W47:W56)</f>
        <v>0</v>
      </c>
      <c r="X46" s="572"/>
      <c r="Y46" s="570"/>
    </row>
    <row r="47" spans="11:25" s="268" customFormat="1" ht="18" customHeight="1">
      <c r="K47" s="1453" t="s">
        <v>75</v>
      </c>
      <c r="L47" s="1460"/>
      <c r="M47" s="607">
        <v>128000</v>
      </c>
      <c r="N47" s="607">
        <f>M47</f>
        <v>128000</v>
      </c>
      <c r="O47" s="103">
        <f>P47</f>
        <v>18597.63</v>
      </c>
      <c r="P47" s="103">
        <v>18597.63</v>
      </c>
      <c r="Q47" s="1230">
        <f>P47/P126*100</f>
        <v>0.0008627791506092471</v>
      </c>
      <c r="R47" s="610">
        <f aca="true" t="shared" si="8" ref="R47:R56">N47-P47</f>
        <v>109402.37</v>
      </c>
      <c r="S47" s="108">
        <f>T47</f>
        <v>0</v>
      </c>
      <c r="T47" s="108">
        <v>0</v>
      </c>
      <c r="U47" s="1230">
        <f>T47/T126*100</f>
        <v>0</v>
      </c>
      <c r="V47" s="607">
        <f aca="true" t="shared" si="9" ref="V47:V56">N47-T47</f>
        <v>128000</v>
      </c>
      <c r="W47" s="693"/>
      <c r="X47" s="274"/>
      <c r="Y47" s="160"/>
    </row>
    <row r="48" spans="11:25" s="633" customFormat="1" ht="18" customHeight="1">
      <c r="K48" s="859" t="s">
        <v>70</v>
      </c>
      <c r="L48" s="860"/>
      <c r="M48" s="628">
        <v>241263000</v>
      </c>
      <c r="N48" s="654">
        <v>244263000</v>
      </c>
      <c r="O48" s="103">
        <f>P48</f>
        <v>231205444.68</v>
      </c>
      <c r="P48" s="103">
        <v>231205444.68</v>
      </c>
      <c r="Q48" s="1230">
        <f>P48/P126*100</f>
        <v>10.72605687806692</v>
      </c>
      <c r="R48" s="610">
        <f t="shared" si="8"/>
        <v>13057555.319999993</v>
      </c>
      <c r="S48" s="944">
        <f>T48</f>
        <v>34348482.56</v>
      </c>
      <c r="T48" s="108">
        <v>34348482.56</v>
      </c>
      <c r="U48" s="1230">
        <f>T48/T126*100</f>
        <v>11.718867644791908</v>
      </c>
      <c r="V48" s="607">
        <f t="shared" si="9"/>
        <v>209914517.44</v>
      </c>
      <c r="W48" s="693"/>
      <c r="X48" s="631"/>
      <c r="Y48" s="632"/>
    </row>
    <row r="49" spans="11:25" s="268" customFormat="1" ht="18" customHeight="1">
      <c r="K49" s="851" t="s">
        <v>79</v>
      </c>
      <c r="L49" s="655"/>
      <c r="M49" s="607"/>
      <c r="N49" s="607"/>
      <c r="O49" s="103"/>
      <c r="P49" s="103"/>
      <c r="Q49" s="1230"/>
      <c r="R49" s="610"/>
      <c r="S49" s="108"/>
      <c r="T49" s="108"/>
      <c r="U49" s="1230"/>
      <c r="V49" s="607"/>
      <c r="W49" s="693"/>
      <c r="X49" s="274"/>
      <c r="Y49" s="160"/>
    </row>
    <row r="50" spans="11:25" s="268" customFormat="1" ht="18" customHeight="1">
      <c r="K50" s="851" t="s">
        <v>88</v>
      </c>
      <c r="L50" s="655"/>
      <c r="M50" s="607">
        <v>17930000</v>
      </c>
      <c r="N50" s="607">
        <f aca="true" t="shared" si="10" ref="N50:N56">M50</f>
        <v>17930000</v>
      </c>
      <c r="O50" s="103">
        <f aca="true" t="shared" si="11" ref="O50:O56">P50</f>
        <v>15010000</v>
      </c>
      <c r="P50" s="103">
        <v>15010000</v>
      </c>
      <c r="Q50" s="1230">
        <f>P50/P126*100</f>
        <v>0.6963422248235285</v>
      </c>
      <c r="R50" s="610">
        <f t="shared" si="8"/>
        <v>2920000</v>
      </c>
      <c r="S50" s="108">
        <f aca="true" t="shared" si="12" ref="S50:S56">T50</f>
        <v>948811.69</v>
      </c>
      <c r="T50" s="108">
        <v>948811.69</v>
      </c>
      <c r="U50" s="1230">
        <f>T50/T126*100</f>
        <v>0.3237114942565116</v>
      </c>
      <c r="V50" s="607">
        <f t="shared" si="9"/>
        <v>16981188.31</v>
      </c>
      <c r="W50" s="693"/>
      <c r="X50" s="274"/>
      <c r="Y50" s="160"/>
    </row>
    <row r="51" spans="11:25" s="268" customFormat="1" ht="18" customHeight="1">
      <c r="K51" s="851" t="s">
        <v>481</v>
      </c>
      <c r="L51" s="655"/>
      <c r="M51" s="607">
        <v>94340760.41</v>
      </c>
      <c r="N51" s="607">
        <v>106816416.28</v>
      </c>
      <c r="O51" s="103">
        <f t="shared" si="11"/>
        <v>41820121.24</v>
      </c>
      <c r="P51" s="103">
        <v>41820121.24</v>
      </c>
      <c r="Q51" s="1230">
        <f>P51/P126*100</f>
        <v>1.940114341549054</v>
      </c>
      <c r="R51" s="610">
        <f t="shared" si="8"/>
        <v>64996295.04</v>
      </c>
      <c r="S51" s="944">
        <f t="shared" si="12"/>
        <v>6266881.82</v>
      </c>
      <c r="T51" s="108">
        <v>6266881.82</v>
      </c>
      <c r="U51" s="1230">
        <f>T51/T126*100</f>
        <v>2.1381078033315197</v>
      </c>
      <c r="V51" s="607">
        <f t="shared" si="9"/>
        <v>100549534.46000001</v>
      </c>
      <c r="W51" s="693"/>
      <c r="X51" s="274"/>
      <c r="Y51" s="160"/>
    </row>
    <row r="52" spans="11:25" s="268" customFormat="1" ht="18" customHeight="1">
      <c r="K52" s="1459" t="s">
        <v>765</v>
      </c>
      <c r="L52" s="1460"/>
      <c r="M52" s="607">
        <v>528718550.99</v>
      </c>
      <c r="N52" s="607">
        <v>543521032.69</v>
      </c>
      <c r="O52" s="103">
        <f t="shared" si="11"/>
        <v>339167017.08</v>
      </c>
      <c r="P52" s="103">
        <v>339167017.08</v>
      </c>
      <c r="Q52" s="1230">
        <f>P52/P126*100</f>
        <v>15.734597952048427</v>
      </c>
      <c r="R52" s="610">
        <f t="shared" si="8"/>
        <v>204354015.61000007</v>
      </c>
      <c r="S52" s="944">
        <f t="shared" si="12"/>
        <v>40632345.22</v>
      </c>
      <c r="T52" s="108">
        <v>40632345.22</v>
      </c>
      <c r="U52" s="1230">
        <f>T52/T126*100</f>
        <v>13.86276889812838</v>
      </c>
      <c r="V52" s="607">
        <f t="shared" si="9"/>
        <v>502888687.47</v>
      </c>
      <c r="W52" s="693"/>
      <c r="X52" s="274"/>
      <c r="Y52" s="160"/>
    </row>
    <row r="53" spans="11:25" s="268" customFormat="1" ht="18" customHeight="1">
      <c r="K53" s="1459" t="s">
        <v>225</v>
      </c>
      <c r="L53" s="1460"/>
      <c r="M53" s="607">
        <v>25461821.93</v>
      </c>
      <c r="N53" s="607">
        <v>28855285.43</v>
      </c>
      <c r="O53" s="103">
        <f t="shared" si="11"/>
        <v>14400</v>
      </c>
      <c r="P53" s="103">
        <v>14400</v>
      </c>
      <c r="Q53" s="1230">
        <f>P53/P126*100</f>
        <v>0.0006680431737147776</v>
      </c>
      <c r="R53" s="610">
        <f t="shared" si="8"/>
        <v>28840885.43</v>
      </c>
      <c r="S53" s="108">
        <f t="shared" si="12"/>
        <v>0</v>
      </c>
      <c r="T53" s="108">
        <v>0</v>
      </c>
      <c r="U53" s="1230">
        <f>T53/T126*100</f>
        <v>0</v>
      </c>
      <c r="V53" s="607">
        <f t="shared" si="9"/>
        <v>28855285.43</v>
      </c>
      <c r="W53" s="693"/>
      <c r="X53" s="274"/>
      <c r="Y53" s="160"/>
    </row>
    <row r="54" spans="11:25" s="268" customFormat="1" ht="18" customHeight="1">
      <c r="K54" s="1459" t="s">
        <v>91</v>
      </c>
      <c r="L54" s="1460"/>
      <c r="M54" s="607">
        <v>978630.4</v>
      </c>
      <c r="N54" s="607">
        <f t="shared" si="10"/>
        <v>978630.4</v>
      </c>
      <c r="O54" s="103">
        <f t="shared" si="11"/>
        <v>383166.32</v>
      </c>
      <c r="P54" s="103">
        <v>383166.32</v>
      </c>
      <c r="Q54" s="1230">
        <f>P54/P126*100</f>
        <v>0.017775808643986948</v>
      </c>
      <c r="R54" s="610">
        <f t="shared" si="8"/>
        <v>595464.0800000001</v>
      </c>
      <c r="S54" s="108">
        <f t="shared" si="12"/>
        <v>55300</v>
      </c>
      <c r="T54" s="108">
        <v>55300</v>
      </c>
      <c r="U54" s="1230">
        <f>T54/T126*100</f>
        <v>0.018867016312146292</v>
      </c>
      <c r="V54" s="607">
        <f t="shared" si="9"/>
        <v>923330.4</v>
      </c>
      <c r="W54" s="693"/>
      <c r="X54" s="274"/>
      <c r="Y54" s="160"/>
    </row>
    <row r="55" spans="11:25" s="268" customFormat="1" ht="18" customHeight="1">
      <c r="K55" s="851" t="s">
        <v>92</v>
      </c>
      <c r="L55" s="655"/>
      <c r="M55" s="607">
        <v>27418678.25</v>
      </c>
      <c r="N55" s="607">
        <v>36574678.25</v>
      </c>
      <c r="O55" s="103">
        <f t="shared" si="11"/>
        <v>19740146.38</v>
      </c>
      <c r="P55" s="103">
        <v>19740146.38</v>
      </c>
      <c r="Q55" s="1230">
        <f>P55/P126*100</f>
        <v>0.9157826414784359</v>
      </c>
      <c r="R55" s="610">
        <f t="shared" si="8"/>
        <v>16834531.87</v>
      </c>
      <c r="S55" s="108">
        <f t="shared" si="12"/>
        <v>3104601.86</v>
      </c>
      <c r="T55" s="108">
        <v>3104601.86</v>
      </c>
      <c r="U55" s="1230">
        <f>T55/T126*100</f>
        <v>1.0592147185414054</v>
      </c>
      <c r="V55" s="607">
        <f t="shared" si="9"/>
        <v>33470076.39</v>
      </c>
      <c r="W55" s="693"/>
      <c r="X55" s="274"/>
      <c r="Y55" s="160"/>
    </row>
    <row r="56" spans="11:25" s="268" customFormat="1" ht="18" customHeight="1">
      <c r="K56" s="852" t="s">
        <v>106</v>
      </c>
      <c r="L56" s="649"/>
      <c r="M56" s="616">
        <v>349272.02</v>
      </c>
      <c r="N56" s="616">
        <f t="shared" si="10"/>
        <v>349272.02</v>
      </c>
      <c r="O56" s="103">
        <f t="shared" si="11"/>
        <v>0</v>
      </c>
      <c r="P56" s="608">
        <v>0</v>
      </c>
      <c r="Q56" s="1231">
        <f>P56/P126*100</f>
        <v>0</v>
      </c>
      <c r="R56" s="610">
        <f t="shared" si="8"/>
        <v>349272.02</v>
      </c>
      <c r="S56" s="108">
        <f t="shared" si="12"/>
        <v>0</v>
      </c>
      <c r="T56" s="611">
        <v>0</v>
      </c>
      <c r="U56" s="1231">
        <f>T56/T126*100</f>
        <v>0</v>
      </c>
      <c r="V56" s="607">
        <f t="shared" si="9"/>
        <v>349272.02</v>
      </c>
      <c r="W56" s="693"/>
      <c r="X56" s="274"/>
      <c r="Y56" s="160"/>
    </row>
    <row r="57" spans="11:25" s="571" customFormat="1" ht="18" customHeight="1">
      <c r="K57" s="1467" t="s">
        <v>93</v>
      </c>
      <c r="L57" s="1466"/>
      <c r="M57" s="602">
        <f aca="true" t="shared" si="13" ref="M57:T57">M61+M60+M58+M59</f>
        <v>344600</v>
      </c>
      <c r="N57" s="602">
        <f t="shared" si="13"/>
        <v>344600</v>
      </c>
      <c r="O57" s="656">
        <f t="shared" si="13"/>
        <v>0</v>
      </c>
      <c r="P57" s="657">
        <f t="shared" si="13"/>
        <v>0</v>
      </c>
      <c r="Q57" s="604">
        <f>P57/P126*100</f>
        <v>0</v>
      </c>
      <c r="R57" s="658">
        <f t="shared" si="13"/>
        <v>344600</v>
      </c>
      <c r="S57" s="659">
        <f>S61+S60+S58+S59</f>
        <v>0</v>
      </c>
      <c r="T57" s="605">
        <f t="shared" si="13"/>
        <v>0</v>
      </c>
      <c r="U57" s="604">
        <f>T57/T126*100</f>
        <v>0</v>
      </c>
      <c r="V57" s="606">
        <f>V58+V59+V60+V61</f>
        <v>344600</v>
      </c>
      <c r="W57" s="606">
        <f>W58+W59+W60+W61</f>
        <v>0</v>
      </c>
      <c r="X57" s="572"/>
      <c r="Y57" s="570"/>
    </row>
    <row r="58" spans="11:25" s="571" customFormat="1" ht="18" customHeight="1">
      <c r="K58" s="1459" t="s">
        <v>517</v>
      </c>
      <c r="L58" s="1460"/>
      <c r="M58" s="607">
        <v>40000</v>
      </c>
      <c r="N58" s="607">
        <f>M58</f>
        <v>40000</v>
      </c>
      <c r="O58" s="103">
        <f>P58</f>
        <v>0</v>
      </c>
      <c r="P58" s="608"/>
      <c r="Q58" s="1230">
        <f>P58/P126*100</f>
        <v>0</v>
      </c>
      <c r="R58" s="610">
        <f>N58-P58</f>
        <v>40000</v>
      </c>
      <c r="S58" s="108">
        <f>T58</f>
        <v>0</v>
      </c>
      <c r="T58" s="611"/>
      <c r="U58" s="1230">
        <f>T58/T126*100</f>
        <v>0</v>
      </c>
      <c r="V58" s="607">
        <f>N58-T58</f>
        <v>40000</v>
      </c>
      <c r="W58" s="693"/>
      <c r="X58" s="572"/>
      <c r="Y58" s="570"/>
    </row>
    <row r="59" spans="11:25" s="571" customFormat="1" ht="18" customHeight="1">
      <c r="K59" s="1459" t="s">
        <v>94</v>
      </c>
      <c r="L59" s="1460"/>
      <c r="M59" s="607">
        <v>304600</v>
      </c>
      <c r="N59" s="607">
        <f>M59</f>
        <v>304600</v>
      </c>
      <c r="O59" s="103">
        <f>P59</f>
        <v>0</v>
      </c>
      <c r="P59" s="103"/>
      <c r="Q59" s="1230">
        <f>P59/P126*100</f>
        <v>0</v>
      </c>
      <c r="R59" s="610">
        <f>N59-P59</f>
        <v>304600</v>
      </c>
      <c r="S59" s="108">
        <f>T59</f>
        <v>0</v>
      </c>
      <c r="T59" s="108"/>
      <c r="U59" s="1230">
        <f>T59/T126*100</f>
        <v>0</v>
      </c>
      <c r="V59" s="607">
        <f>N59-T59</f>
        <v>304600</v>
      </c>
      <c r="W59" s="693"/>
      <c r="X59" s="572"/>
      <c r="Y59" s="570"/>
    </row>
    <row r="60" spans="11:25" s="268" customFormat="1" ht="18" customHeight="1">
      <c r="K60" s="1459" t="s">
        <v>95</v>
      </c>
      <c r="L60" s="1460"/>
      <c r="M60" s="607"/>
      <c r="N60" s="607"/>
      <c r="O60" s="103"/>
      <c r="P60" s="630"/>
      <c r="Q60" s="1230"/>
      <c r="R60" s="610"/>
      <c r="S60" s="108"/>
      <c r="T60" s="627"/>
      <c r="U60" s="1230"/>
      <c r="V60" s="607"/>
      <c r="W60" s="693"/>
      <c r="X60" s="274"/>
      <c r="Y60" s="160"/>
    </row>
    <row r="61" spans="11:25" s="268" customFormat="1" ht="18" customHeight="1">
      <c r="K61" s="1461" t="s">
        <v>96</v>
      </c>
      <c r="L61" s="1462"/>
      <c r="M61" s="607"/>
      <c r="N61" s="616"/>
      <c r="O61" s="103"/>
      <c r="P61" s="644"/>
      <c r="Q61" s="1231"/>
      <c r="R61" s="610"/>
      <c r="S61" s="108"/>
      <c r="T61" s="241"/>
      <c r="U61" s="1231"/>
      <c r="V61" s="607"/>
      <c r="W61" s="693"/>
      <c r="X61" s="274"/>
      <c r="Y61" s="255"/>
    </row>
    <row r="62" spans="11:24" s="570" customFormat="1" ht="18" customHeight="1">
      <c r="K62" s="1465" t="s">
        <v>97</v>
      </c>
      <c r="L62" s="1466"/>
      <c r="M62" s="660">
        <f aca="true" t="shared" si="14" ref="M62:V62">SUM(M63:M69)</f>
        <v>666499341.12</v>
      </c>
      <c r="N62" s="661">
        <f t="shared" si="14"/>
        <v>666499341.12</v>
      </c>
      <c r="O62" s="662">
        <f>SUM(O63:O69)</f>
        <v>465026662.2099999</v>
      </c>
      <c r="P62" s="663">
        <f t="shared" si="14"/>
        <v>465026662.2099999</v>
      </c>
      <c r="Q62" s="604">
        <f>P62/P126*100</f>
        <v>21.57346439477487</v>
      </c>
      <c r="R62" s="664">
        <f t="shared" si="14"/>
        <v>201472678.91000003</v>
      </c>
      <c r="S62" s="664">
        <f>SUM(S63:S69)</f>
        <v>57673227.080000006</v>
      </c>
      <c r="T62" s="665">
        <f t="shared" si="14"/>
        <v>57673227.080000006</v>
      </c>
      <c r="U62" s="604">
        <f>T62/T126*100</f>
        <v>19.676703726807908</v>
      </c>
      <c r="V62" s="663">
        <f t="shared" si="14"/>
        <v>608826114.04</v>
      </c>
      <c r="W62" s="863">
        <f>SUM(W63:W69)</f>
        <v>0</v>
      </c>
      <c r="X62" s="572"/>
    </row>
    <row r="63" spans="11:24" s="160" customFormat="1" ht="18" customHeight="1">
      <c r="K63" s="851" t="s">
        <v>70</v>
      </c>
      <c r="L63" s="651"/>
      <c r="M63" s="666"/>
      <c r="N63" s="667"/>
      <c r="O63" s="103"/>
      <c r="P63" s="103"/>
      <c r="Q63" s="1230"/>
      <c r="R63" s="610"/>
      <c r="S63" s="108"/>
      <c r="T63" s="108"/>
      <c r="U63" s="1230"/>
      <c r="V63" s="607"/>
      <c r="W63" s="693"/>
      <c r="X63" s="274"/>
    </row>
    <row r="64" spans="11:24" s="160" customFormat="1" ht="18" customHeight="1">
      <c r="K64" s="1453" t="s">
        <v>88</v>
      </c>
      <c r="L64" s="1460"/>
      <c r="M64" s="666"/>
      <c r="N64" s="667"/>
      <c r="O64" s="103"/>
      <c r="P64" s="103"/>
      <c r="Q64" s="1230"/>
      <c r="R64" s="610"/>
      <c r="S64" s="108"/>
      <c r="T64" s="108"/>
      <c r="U64" s="1230"/>
      <c r="V64" s="607"/>
      <c r="W64" s="693"/>
      <c r="X64" s="274"/>
    </row>
    <row r="65" spans="11:24" s="160" customFormat="1" ht="18" customHeight="1">
      <c r="K65" s="1453" t="s">
        <v>98</v>
      </c>
      <c r="L65" s="1460"/>
      <c r="M65" s="607">
        <v>426545111.73</v>
      </c>
      <c r="N65" s="241">
        <f>M65</f>
        <v>426545111.73</v>
      </c>
      <c r="O65" s="103">
        <f>P65</f>
        <v>351741594.15</v>
      </c>
      <c r="P65" s="103">
        <v>351741594.15</v>
      </c>
      <c r="Q65" s="1230">
        <f>P65/P126*100</f>
        <v>16.317956311351473</v>
      </c>
      <c r="R65" s="610">
        <f>N65-P65</f>
        <v>74803517.58000004</v>
      </c>
      <c r="S65" s="944">
        <f>T65</f>
        <v>45896569.49</v>
      </c>
      <c r="T65" s="944">
        <v>45896569.49</v>
      </c>
      <c r="U65" s="1230">
        <f>T65/T126*100</f>
        <v>15.658794308126328</v>
      </c>
      <c r="V65" s="607">
        <f>N65-T65</f>
        <v>380648542.24</v>
      </c>
      <c r="W65" s="693"/>
      <c r="X65" s="274"/>
    </row>
    <row r="66" spans="11:24" s="160" customFormat="1" ht="18" customHeight="1">
      <c r="K66" s="1453" t="s">
        <v>99</v>
      </c>
      <c r="L66" s="1460"/>
      <c r="M66" s="607">
        <v>205098033.07</v>
      </c>
      <c r="N66" s="241">
        <f>M66</f>
        <v>205098033.07</v>
      </c>
      <c r="O66" s="103">
        <f>P66</f>
        <v>88010703.28</v>
      </c>
      <c r="P66" s="103">
        <v>88010703.28</v>
      </c>
      <c r="Q66" s="1230">
        <f>P66/P126*100</f>
        <v>4.082982606947277</v>
      </c>
      <c r="R66" s="610">
        <f>N66-P66</f>
        <v>117087329.78999999</v>
      </c>
      <c r="S66" s="944">
        <f>T66</f>
        <v>9660553.77</v>
      </c>
      <c r="T66" s="108">
        <v>9660553.77</v>
      </c>
      <c r="U66" s="1230">
        <f>T66/T126*100</f>
        <v>3.295946212711688</v>
      </c>
      <c r="V66" s="607">
        <f>N66-T66</f>
        <v>195437479.29999998</v>
      </c>
      <c r="W66" s="693"/>
      <c r="X66" s="274"/>
    </row>
    <row r="67" spans="11:24" s="160" customFormat="1" ht="18" customHeight="1">
      <c r="K67" s="1453" t="s">
        <v>100</v>
      </c>
      <c r="L67" s="1460"/>
      <c r="M67" s="607">
        <v>18917917.6</v>
      </c>
      <c r="N67" s="241">
        <f>M67</f>
        <v>18917917.6</v>
      </c>
      <c r="O67" s="103">
        <f>P67</f>
        <v>11455883.01</v>
      </c>
      <c r="P67" s="103">
        <v>11455883.01</v>
      </c>
      <c r="Q67" s="1230">
        <f>P67/P126*100</f>
        <v>0.5314600308128888</v>
      </c>
      <c r="R67" s="610">
        <f>N67-P67</f>
        <v>7462034.590000002</v>
      </c>
      <c r="S67" s="108">
        <f>T67</f>
        <v>806622.07</v>
      </c>
      <c r="T67" s="108">
        <v>806622.07</v>
      </c>
      <c r="U67" s="1230">
        <f>T67/T126*100</f>
        <v>0.2751998508576349</v>
      </c>
      <c r="V67" s="607">
        <f>N67-T67</f>
        <v>18111295.53</v>
      </c>
      <c r="W67" s="693"/>
      <c r="X67" s="274"/>
    </row>
    <row r="68" spans="11:23" s="160" customFormat="1" ht="15" customHeight="1">
      <c r="K68" s="1453" t="s">
        <v>101</v>
      </c>
      <c r="L68" s="1460"/>
      <c r="M68" s="607">
        <v>15938278.72</v>
      </c>
      <c r="N68" s="241">
        <f>M68</f>
        <v>15938278.72</v>
      </c>
      <c r="O68" s="103">
        <f>P68</f>
        <v>13818481.77</v>
      </c>
      <c r="P68" s="103">
        <v>13818481.77</v>
      </c>
      <c r="Q68" s="1230">
        <f>P68/P126*100</f>
        <v>0.6410654456632359</v>
      </c>
      <c r="R68" s="610">
        <f>N68-P68</f>
        <v>2119796.950000001</v>
      </c>
      <c r="S68" s="108">
        <f>T68</f>
        <v>1309481.75</v>
      </c>
      <c r="T68" s="108">
        <v>1309481.75</v>
      </c>
      <c r="U68" s="1230">
        <f>T68/T126*100</f>
        <v>0.4467633551122581</v>
      </c>
      <c r="V68" s="607">
        <f>N68-T68</f>
        <v>14628796.97</v>
      </c>
      <c r="W68" s="693"/>
    </row>
    <row r="69" spans="11:24" s="160" customFormat="1" ht="18" customHeight="1">
      <c r="K69" s="1455" t="s">
        <v>482</v>
      </c>
      <c r="L69" s="1462"/>
      <c r="M69" s="616"/>
      <c r="N69" s="668"/>
      <c r="O69" s="103"/>
      <c r="P69" s="644"/>
      <c r="Q69" s="1231"/>
      <c r="R69" s="610"/>
      <c r="S69" s="108"/>
      <c r="T69" s="645"/>
      <c r="U69" s="1231"/>
      <c r="V69" s="625"/>
      <c r="W69" s="689"/>
      <c r="X69" s="274"/>
    </row>
    <row r="70" spans="11:24" s="570" customFormat="1" ht="18" customHeight="1">
      <c r="K70" s="1457" t="s">
        <v>102</v>
      </c>
      <c r="L70" s="1458"/>
      <c r="M70" s="621">
        <f aca="true" t="shared" si="15" ref="M70:R70">M73+M74+M71+M72</f>
        <v>39716732.14</v>
      </c>
      <c r="N70" s="621">
        <f t="shared" si="15"/>
        <v>39716732.14</v>
      </c>
      <c r="O70" s="669">
        <f t="shared" si="15"/>
        <v>3439814.54</v>
      </c>
      <c r="P70" s="638">
        <f t="shared" si="15"/>
        <v>3439814.54</v>
      </c>
      <c r="Q70" s="604">
        <f>P70/P126*100</f>
        <v>0.1595794876591554</v>
      </c>
      <c r="R70" s="639">
        <f t="shared" si="15"/>
        <v>36276917.6</v>
      </c>
      <c r="S70" s="639">
        <f>S73+S74+S71+S72</f>
        <v>41592</v>
      </c>
      <c r="T70" s="641">
        <f>T71+T72+T73+T74</f>
        <v>41592</v>
      </c>
      <c r="U70" s="604">
        <f>T70/T126*100</f>
        <v>0.014190179791225834</v>
      </c>
      <c r="V70" s="642">
        <f>V71+V72+V73+V74</f>
        <v>39675140.14</v>
      </c>
      <c r="W70" s="642">
        <f>W71+W72+W73+W74</f>
        <v>0</v>
      </c>
      <c r="X70" s="572"/>
    </row>
    <row r="71" spans="11:25" s="268" customFormat="1" ht="18" customHeight="1">
      <c r="K71" s="1459" t="s">
        <v>70</v>
      </c>
      <c r="L71" s="1460"/>
      <c r="M71" s="607"/>
      <c r="N71" s="612"/>
      <c r="O71" s="103"/>
      <c r="P71" s="608"/>
      <c r="Q71" s="1230"/>
      <c r="R71" s="610"/>
      <c r="S71" s="108"/>
      <c r="T71" s="643"/>
      <c r="U71" s="1230"/>
      <c r="V71" s="607"/>
      <c r="W71" s="693"/>
      <c r="X71" s="274"/>
      <c r="Y71" s="160"/>
    </row>
    <row r="72" spans="11:25" s="268" customFormat="1" ht="18" customHeight="1">
      <c r="K72" s="1459" t="s">
        <v>96</v>
      </c>
      <c r="L72" s="1460"/>
      <c r="M72" s="607"/>
      <c r="N72" s="612"/>
      <c r="O72" s="103"/>
      <c r="P72" s="608"/>
      <c r="Q72" s="1230"/>
      <c r="R72" s="610"/>
      <c r="S72" s="108"/>
      <c r="T72" s="643"/>
      <c r="U72" s="1230"/>
      <c r="V72" s="607"/>
      <c r="W72" s="693"/>
      <c r="X72" s="274"/>
      <c r="Y72" s="160"/>
    </row>
    <row r="73" spans="11:25" s="268" customFormat="1" ht="18" customHeight="1">
      <c r="K73" s="1459" t="s">
        <v>103</v>
      </c>
      <c r="L73" s="1460"/>
      <c r="M73" s="607">
        <v>25330195.77</v>
      </c>
      <c r="N73" s="612">
        <f>M73</f>
        <v>25330195.77</v>
      </c>
      <c r="O73" s="103">
        <f>P73</f>
        <v>3439814.54</v>
      </c>
      <c r="P73" s="608">
        <v>3439814.54</v>
      </c>
      <c r="Q73" s="1230">
        <f>P73/P126*100</f>
        <v>0.1595794876591554</v>
      </c>
      <c r="R73" s="610">
        <f>N73-P73</f>
        <v>21890381.23</v>
      </c>
      <c r="S73" s="108">
        <f>T73</f>
        <v>41592</v>
      </c>
      <c r="T73" s="108">
        <v>41592</v>
      </c>
      <c r="U73" s="1230">
        <f>T73/T126*100</f>
        <v>0.014190179791225834</v>
      </c>
      <c r="V73" s="607">
        <f>N73-T73</f>
        <v>25288603.77</v>
      </c>
      <c r="W73" s="693"/>
      <c r="X73" s="274"/>
      <c r="Y73" s="160"/>
    </row>
    <row r="74" spans="11:25" s="268" customFormat="1" ht="18" customHeight="1">
      <c r="K74" s="1461" t="s">
        <v>104</v>
      </c>
      <c r="L74" s="1462"/>
      <c r="M74" s="616">
        <v>14386536.37</v>
      </c>
      <c r="N74" s="618">
        <f>M74</f>
        <v>14386536.37</v>
      </c>
      <c r="O74" s="103">
        <f>P74</f>
        <v>0</v>
      </c>
      <c r="P74" s="103">
        <v>0</v>
      </c>
      <c r="Q74" s="1231">
        <f>P74/P126*100</f>
        <v>0</v>
      </c>
      <c r="R74" s="610">
        <f>N74-P74</f>
        <v>14386536.37</v>
      </c>
      <c r="S74" s="108">
        <f>T74</f>
        <v>0</v>
      </c>
      <c r="T74" s="108">
        <v>0</v>
      </c>
      <c r="U74" s="1231">
        <f>T74/T126*100</f>
        <v>0</v>
      </c>
      <c r="V74" s="607">
        <f>N74-T74</f>
        <v>14386536.37</v>
      </c>
      <c r="W74" s="693"/>
      <c r="X74" s="274"/>
      <c r="Y74" s="160"/>
    </row>
    <row r="75" spans="11:25" s="571" customFormat="1" ht="18" customHeight="1">
      <c r="K75" s="1457" t="s">
        <v>105</v>
      </c>
      <c r="L75" s="1458"/>
      <c r="M75" s="621">
        <f aca="true" t="shared" si="16" ref="M75:T75">M78+M77+M76</f>
        <v>16320961.17</v>
      </c>
      <c r="N75" s="621">
        <f t="shared" si="16"/>
        <v>16320961.17</v>
      </c>
      <c r="O75" s="669">
        <f t="shared" si="16"/>
        <v>637480</v>
      </c>
      <c r="P75" s="638">
        <f t="shared" si="16"/>
        <v>637480</v>
      </c>
      <c r="Q75" s="604">
        <f>P75/P126*100</f>
        <v>0.02957390016525669</v>
      </c>
      <c r="R75" s="639">
        <f t="shared" si="16"/>
        <v>15683481.17</v>
      </c>
      <c r="S75" s="639">
        <f>S78+S77+S76</f>
        <v>40680</v>
      </c>
      <c r="T75" s="670">
        <f t="shared" si="16"/>
        <v>40680</v>
      </c>
      <c r="U75" s="604">
        <f>T75/T126*100</f>
        <v>0.013879027551141251</v>
      </c>
      <c r="V75" s="606">
        <f>V76+V77+V78</f>
        <v>16280281.17</v>
      </c>
      <c r="W75" s="606">
        <f>W76+W77+W78</f>
        <v>0</v>
      </c>
      <c r="X75" s="572"/>
      <c r="Y75" s="570"/>
    </row>
    <row r="76" spans="11:25" s="268" customFormat="1" ht="18" customHeight="1">
      <c r="K76" s="1459" t="s">
        <v>70</v>
      </c>
      <c r="L76" s="1460"/>
      <c r="M76" s="612">
        <v>80486.75</v>
      </c>
      <c r="N76" s="612">
        <f>M76</f>
        <v>80486.75</v>
      </c>
      <c r="O76" s="103">
        <f>P76</f>
        <v>0</v>
      </c>
      <c r="P76" s="608"/>
      <c r="Q76" s="1230">
        <f>P76/P126*100</f>
        <v>0</v>
      </c>
      <c r="R76" s="610">
        <f>N76-P76</f>
        <v>80486.75</v>
      </c>
      <c r="S76" s="108">
        <f>T76</f>
        <v>0</v>
      </c>
      <c r="T76" s="611"/>
      <c r="U76" s="1230">
        <f>T76/T126*100</f>
        <v>0</v>
      </c>
      <c r="V76" s="607">
        <f>N76-T76</f>
        <v>80486.75</v>
      </c>
      <c r="W76" s="693"/>
      <c r="X76" s="274"/>
      <c r="Y76" s="160"/>
    </row>
    <row r="77" spans="11:25" s="268" customFormat="1" ht="18" customHeight="1">
      <c r="K77" s="851" t="s">
        <v>106</v>
      </c>
      <c r="L77" s="651"/>
      <c r="M77" s="607">
        <v>14470174.42</v>
      </c>
      <c r="N77" s="612">
        <f>M77</f>
        <v>14470174.42</v>
      </c>
      <c r="O77" s="103">
        <f>P77</f>
        <v>0</v>
      </c>
      <c r="P77" s="103"/>
      <c r="Q77" s="1230">
        <f>P77/P126*100</f>
        <v>0</v>
      </c>
      <c r="R77" s="610">
        <f>N77-P77</f>
        <v>14470174.42</v>
      </c>
      <c r="S77" s="108">
        <f>T77</f>
        <v>0</v>
      </c>
      <c r="T77" s="611"/>
      <c r="U77" s="1230">
        <f>T77/T126*100</f>
        <v>0</v>
      </c>
      <c r="V77" s="607">
        <f>N77-T77</f>
        <v>14470174.42</v>
      </c>
      <c r="W77" s="693"/>
      <c r="X77" s="274"/>
      <c r="Y77" s="160"/>
    </row>
    <row r="78" spans="11:25" s="268" customFormat="1" ht="18" customHeight="1">
      <c r="K78" s="1449" t="s">
        <v>766</v>
      </c>
      <c r="L78" s="1450"/>
      <c r="M78" s="650">
        <v>1770300</v>
      </c>
      <c r="N78" s="634">
        <f>M78</f>
        <v>1770300</v>
      </c>
      <c r="O78" s="192">
        <f>P78</f>
        <v>637480</v>
      </c>
      <c r="P78" s="861">
        <v>637480</v>
      </c>
      <c r="Q78" s="1231">
        <f>P78/P126*100</f>
        <v>0.02957390016525669</v>
      </c>
      <c r="R78" s="624">
        <f>N78-P78</f>
        <v>1132820</v>
      </c>
      <c r="S78" s="691">
        <f>T78</f>
        <v>40680</v>
      </c>
      <c r="T78" s="691">
        <v>40680</v>
      </c>
      <c r="U78" s="1231">
        <f>T78/T126*100</f>
        <v>0.013879027551141251</v>
      </c>
      <c r="V78" s="625">
        <f>N78-T78</f>
        <v>1729620</v>
      </c>
      <c r="W78" s="689"/>
      <c r="X78" s="274"/>
      <c r="Y78" s="160"/>
    </row>
    <row r="79" spans="11:25" s="571" customFormat="1" ht="18" customHeight="1">
      <c r="K79" s="1463" t="s">
        <v>107</v>
      </c>
      <c r="L79" s="1464"/>
      <c r="M79" s="672">
        <f>M80+M81+M82+M83+M84+M85+M86+M87</f>
        <v>248375883.9</v>
      </c>
      <c r="N79" s="672">
        <f>N80+N81+N82+N83+N84+N85+N86+N87</f>
        <v>248375883.9</v>
      </c>
      <c r="O79" s="672">
        <f>O80+O81+O82+O83+O84+O85+O86+O87</f>
        <v>21844478.310000002</v>
      </c>
      <c r="P79" s="672">
        <f>P80+P81+P82+P83+P84+P85+P86+P87</f>
        <v>21844478.310000002</v>
      </c>
      <c r="Q79" s="609">
        <f>P79/P126*100</f>
        <v>1.0134065707191682</v>
      </c>
      <c r="R79" s="672">
        <f>R80+R81+R82+R83+R84+R85+R86+R87</f>
        <v>226531405.59</v>
      </c>
      <c r="S79" s="672">
        <f>S80+S81+S82+S83+S84+S85+S86+S87</f>
        <v>193347.04</v>
      </c>
      <c r="T79" s="672">
        <f>T80+T81+T82+T83+T84+T85+T86+T87</f>
        <v>193347.04</v>
      </c>
      <c r="U79" s="609">
        <f>T79/T126*100</f>
        <v>0.06596531207206513</v>
      </c>
      <c r="V79" s="672">
        <f>V80+V81+V82+V83+V84+V85+V86+V87</f>
        <v>248182536.86</v>
      </c>
      <c r="W79" s="672">
        <f>W80+W81+W82+W83+W84+W85+W86+W87</f>
        <v>0</v>
      </c>
      <c r="X79" s="572"/>
      <c r="Y79" s="570"/>
    </row>
    <row r="80" spans="11:25" s="268" customFormat="1" ht="18" customHeight="1">
      <c r="K80" s="1459" t="s">
        <v>70</v>
      </c>
      <c r="L80" s="1460"/>
      <c r="M80" s="607">
        <v>2787241.72</v>
      </c>
      <c r="N80" s="607">
        <f>M80</f>
        <v>2787241.72</v>
      </c>
      <c r="O80" s="103">
        <f>P80</f>
        <v>2187287.59</v>
      </c>
      <c r="P80" s="103">
        <v>2187287.59</v>
      </c>
      <c r="Q80" s="1230">
        <f>P80/P126*100</f>
        <v>0.10147239885073243</v>
      </c>
      <c r="R80" s="610">
        <f aca="true" t="shared" si="17" ref="R80:R87">N80-P80</f>
        <v>599954.1300000004</v>
      </c>
      <c r="S80" s="108">
        <f>T80</f>
        <v>193347.04</v>
      </c>
      <c r="T80" s="108">
        <v>193347.04</v>
      </c>
      <c r="U80" s="1230">
        <f>T80/T126*100</f>
        <v>0.06596531207206513</v>
      </c>
      <c r="V80" s="607">
        <f>N80-T80</f>
        <v>2593894.68</v>
      </c>
      <c r="W80" s="693"/>
      <c r="X80" s="274"/>
      <c r="Y80" s="160"/>
    </row>
    <row r="81" spans="11:25" s="268" customFormat="1" ht="18" customHeight="1">
      <c r="K81" s="1459" t="s">
        <v>108</v>
      </c>
      <c r="L81" s="1460"/>
      <c r="M81" s="607">
        <v>12313064.6</v>
      </c>
      <c r="N81" s="607">
        <f>M81</f>
        <v>12313064.6</v>
      </c>
      <c r="O81" s="103">
        <f>P81</f>
        <v>0</v>
      </c>
      <c r="P81" s="103"/>
      <c r="Q81" s="1230">
        <f>P81/P126*100</f>
        <v>0</v>
      </c>
      <c r="R81" s="610">
        <f t="shared" si="17"/>
        <v>12313064.6</v>
      </c>
      <c r="S81" s="108">
        <f>T81</f>
        <v>0</v>
      </c>
      <c r="T81" s="108"/>
      <c r="U81" s="1230">
        <f>T81/T126*100</f>
        <v>0</v>
      </c>
      <c r="V81" s="607">
        <f aca="true" t="shared" si="18" ref="V81:V87">N81-T81</f>
        <v>12313064.6</v>
      </c>
      <c r="W81" s="693"/>
      <c r="X81" s="274"/>
      <c r="Y81" s="160"/>
    </row>
    <row r="82" spans="11:25" s="268" customFormat="1" ht="18" customHeight="1">
      <c r="K82" s="851" t="s">
        <v>483</v>
      </c>
      <c r="L82" s="655"/>
      <c r="M82" s="607">
        <v>10000</v>
      </c>
      <c r="N82" s="607">
        <f>M82</f>
        <v>10000</v>
      </c>
      <c r="O82" s="103">
        <f>P82</f>
        <v>0</v>
      </c>
      <c r="P82" s="103"/>
      <c r="Q82" s="1230">
        <f>P82/P126*100</f>
        <v>0</v>
      </c>
      <c r="R82" s="610">
        <f t="shared" si="17"/>
        <v>10000</v>
      </c>
      <c r="S82" s="108">
        <f>T82</f>
        <v>0</v>
      </c>
      <c r="T82" s="108"/>
      <c r="U82" s="1230">
        <f>T82/T126*100</f>
        <v>0</v>
      </c>
      <c r="V82" s="607">
        <f t="shared" si="18"/>
        <v>10000</v>
      </c>
      <c r="W82" s="693"/>
      <c r="X82" s="274"/>
      <c r="Y82" s="160"/>
    </row>
    <row r="83" spans="11:25" s="268" customFormat="1" ht="18" customHeight="1">
      <c r="K83" s="851" t="s">
        <v>109</v>
      </c>
      <c r="L83" s="655"/>
      <c r="M83" s="607">
        <v>153887646.58</v>
      </c>
      <c r="N83" s="607">
        <f>M83</f>
        <v>153887646.58</v>
      </c>
      <c r="O83" s="103">
        <f>P83</f>
        <v>13599563.32</v>
      </c>
      <c r="P83" s="103">
        <v>13599563.32</v>
      </c>
      <c r="Q83" s="1230">
        <f>P83/P126*100</f>
        <v>0.6309094056547138</v>
      </c>
      <c r="R83" s="610">
        <f t="shared" si="17"/>
        <v>140288083.26000002</v>
      </c>
      <c r="S83" s="944">
        <f>T83</f>
        <v>0</v>
      </c>
      <c r="T83" s="108"/>
      <c r="U83" s="1230">
        <f>T83/T126*100</f>
        <v>0</v>
      </c>
      <c r="V83" s="607">
        <f t="shared" si="18"/>
        <v>153887646.58</v>
      </c>
      <c r="W83" s="693"/>
      <c r="X83" s="274"/>
      <c r="Y83" s="160"/>
    </row>
    <row r="84" spans="11:25" s="268" customFormat="1" ht="18" customHeight="1">
      <c r="K84" s="851" t="s">
        <v>110</v>
      </c>
      <c r="L84" s="655"/>
      <c r="M84" s="607">
        <v>79312631</v>
      </c>
      <c r="N84" s="607">
        <f>M84</f>
        <v>79312631</v>
      </c>
      <c r="O84" s="103">
        <f>P84</f>
        <v>6057627.4</v>
      </c>
      <c r="P84" s="103">
        <v>6057627.4</v>
      </c>
      <c r="Q84" s="1230">
        <f>P84/P126*100</f>
        <v>0.28102476621372197</v>
      </c>
      <c r="R84" s="610">
        <f t="shared" si="17"/>
        <v>73255003.6</v>
      </c>
      <c r="S84" s="108">
        <f>T84</f>
        <v>0</v>
      </c>
      <c r="T84" s="108"/>
      <c r="U84" s="1230">
        <f>T84/T126*100</f>
        <v>0</v>
      </c>
      <c r="V84" s="607">
        <f t="shared" si="18"/>
        <v>79312631</v>
      </c>
      <c r="W84" s="693"/>
      <c r="X84" s="274"/>
      <c r="Y84" s="160"/>
    </row>
    <row r="85" spans="11:25" s="268" customFormat="1" ht="18" customHeight="1">
      <c r="K85" s="851" t="s">
        <v>518</v>
      </c>
      <c r="L85" s="567"/>
      <c r="M85" s="622"/>
      <c r="N85" s="622"/>
      <c r="O85" s="103"/>
      <c r="P85" s="913"/>
      <c r="Q85" s="1230"/>
      <c r="R85" s="610"/>
      <c r="S85" s="108"/>
      <c r="T85" s="611"/>
      <c r="U85" s="1230"/>
      <c r="V85" s="607"/>
      <c r="W85" s="693"/>
      <c r="X85" s="274"/>
      <c r="Y85" s="160"/>
    </row>
    <row r="86" spans="11:25" s="268" customFormat="1" ht="18" customHeight="1">
      <c r="K86" s="851" t="s">
        <v>114</v>
      </c>
      <c r="L86" s="567"/>
      <c r="M86" s="622"/>
      <c r="N86" s="622"/>
      <c r="O86" s="103"/>
      <c r="P86" s="913"/>
      <c r="Q86" s="1230"/>
      <c r="R86" s="610"/>
      <c r="S86" s="108"/>
      <c r="T86" s="611"/>
      <c r="U86" s="1230"/>
      <c r="V86" s="607"/>
      <c r="W86" s="693"/>
      <c r="X86" s="274"/>
      <c r="Y86" s="160"/>
    </row>
    <row r="87" spans="11:25" s="268" customFormat="1" ht="18" customHeight="1">
      <c r="K87" s="854" t="s">
        <v>519</v>
      </c>
      <c r="L87" s="649"/>
      <c r="M87" s="650">
        <v>65300</v>
      </c>
      <c r="N87" s="650">
        <f>M87</f>
        <v>65300</v>
      </c>
      <c r="O87" s="103">
        <f>P87</f>
        <v>0</v>
      </c>
      <c r="P87" s="608"/>
      <c r="Q87" s="1231">
        <f>P87/P126*100</f>
        <v>0</v>
      </c>
      <c r="R87" s="610">
        <f t="shared" si="17"/>
        <v>65300</v>
      </c>
      <c r="S87" s="108">
        <f>T87</f>
        <v>0</v>
      </c>
      <c r="T87" s="624"/>
      <c r="U87" s="1231">
        <f>T87/T126*100</f>
        <v>0</v>
      </c>
      <c r="V87" s="607">
        <f t="shared" si="18"/>
        <v>65300</v>
      </c>
      <c r="W87" s="689"/>
      <c r="X87" s="274"/>
      <c r="Y87" s="160"/>
    </row>
    <row r="88" spans="11:25" s="571" customFormat="1" ht="18" customHeight="1">
      <c r="K88" s="1457" t="s">
        <v>111</v>
      </c>
      <c r="L88" s="1458"/>
      <c r="M88" s="673">
        <f aca="true" t="shared" si="19" ref="M88:V88">M89</f>
        <v>21061084</v>
      </c>
      <c r="N88" s="673">
        <f t="shared" si="19"/>
        <v>21061084</v>
      </c>
      <c r="O88" s="662">
        <f t="shared" si="19"/>
        <v>0</v>
      </c>
      <c r="P88" s="676">
        <f t="shared" si="19"/>
        <v>0</v>
      </c>
      <c r="Q88" s="604">
        <f>P88/P126*100</f>
        <v>0</v>
      </c>
      <c r="R88" s="664">
        <f t="shared" si="19"/>
        <v>21061084</v>
      </c>
      <c r="S88" s="664">
        <f t="shared" si="19"/>
        <v>0</v>
      </c>
      <c r="T88" s="674">
        <f t="shared" si="19"/>
        <v>0</v>
      </c>
      <c r="U88" s="604">
        <f>T88/T126*100</f>
        <v>0</v>
      </c>
      <c r="V88" s="677">
        <f t="shared" si="19"/>
        <v>21061084</v>
      </c>
      <c r="W88" s="675">
        <f>W89</f>
        <v>0</v>
      </c>
      <c r="X88" s="572"/>
      <c r="Y88" s="570"/>
    </row>
    <row r="89" spans="11:25" s="268" customFormat="1" ht="18" customHeight="1">
      <c r="K89" s="1461" t="s">
        <v>112</v>
      </c>
      <c r="L89" s="1462"/>
      <c r="M89" s="616">
        <v>21061084</v>
      </c>
      <c r="N89" s="618">
        <f>M89</f>
        <v>21061084</v>
      </c>
      <c r="O89" s="103">
        <f>P89</f>
        <v>0</v>
      </c>
      <c r="P89" s="608"/>
      <c r="Q89" s="1231">
        <f>P89/P126*100</f>
        <v>0</v>
      </c>
      <c r="R89" s="610">
        <f>N89-P89</f>
        <v>21061084</v>
      </c>
      <c r="S89" s="108">
        <f>T89</f>
        <v>0</v>
      </c>
      <c r="T89" s="611"/>
      <c r="U89" s="1231">
        <f>T89/T126*100</f>
        <v>0</v>
      </c>
      <c r="V89" s="607">
        <f>N89-T89</f>
        <v>21061084</v>
      </c>
      <c r="W89" s="693"/>
      <c r="X89" s="274"/>
      <c r="Y89" s="160"/>
    </row>
    <row r="90" spans="11:25" s="571" customFormat="1" ht="18" customHeight="1">
      <c r="K90" s="1457" t="s">
        <v>113</v>
      </c>
      <c r="L90" s="1458"/>
      <c r="M90" s="660">
        <f aca="true" t="shared" si="20" ref="M90:T90">M92+M91</f>
        <v>178733672</v>
      </c>
      <c r="N90" s="678">
        <f t="shared" si="20"/>
        <v>178733672</v>
      </c>
      <c r="O90" s="662">
        <f t="shared" si="20"/>
        <v>155119627.66</v>
      </c>
      <c r="P90" s="679">
        <f t="shared" si="20"/>
        <v>155119627.66</v>
      </c>
      <c r="Q90" s="604">
        <f>P90/P126*100</f>
        <v>7.196292247738957</v>
      </c>
      <c r="R90" s="680">
        <f t="shared" si="20"/>
        <v>23614044.34</v>
      </c>
      <c r="S90" s="680">
        <f t="shared" si="20"/>
        <v>13156534.31</v>
      </c>
      <c r="T90" s="661">
        <f t="shared" si="20"/>
        <v>13156534.31</v>
      </c>
      <c r="U90" s="604">
        <f>T90/T126*100</f>
        <v>4.488689827090098</v>
      </c>
      <c r="V90" s="681">
        <f>V91+V92</f>
        <v>165577137.69</v>
      </c>
      <c r="W90" s="681">
        <f>W91+W92</f>
        <v>0</v>
      </c>
      <c r="X90" s="572"/>
      <c r="Y90" s="570"/>
    </row>
    <row r="91" spans="11:25" s="268" customFormat="1" ht="18" customHeight="1">
      <c r="K91" s="1459" t="s">
        <v>110</v>
      </c>
      <c r="L91" s="1460"/>
      <c r="M91" s="666">
        <v>154158168</v>
      </c>
      <c r="N91" s="667">
        <f>M91</f>
        <v>154158168</v>
      </c>
      <c r="O91" s="103">
        <f>P91</f>
        <v>153458168</v>
      </c>
      <c r="P91" s="103">
        <v>153458168</v>
      </c>
      <c r="Q91" s="1230">
        <f>P91/P126*100</f>
        <v>7.119213998831634</v>
      </c>
      <c r="R91" s="610">
        <f>N91-P91</f>
        <v>700000</v>
      </c>
      <c r="S91" s="108">
        <f>T91</f>
        <v>13156534.31</v>
      </c>
      <c r="T91" s="108">
        <v>13156534.31</v>
      </c>
      <c r="U91" s="1230">
        <f>T91/T126*100</f>
        <v>4.488689827090098</v>
      </c>
      <c r="V91" s="607">
        <f>N91-T91</f>
        <v>141001633.69</v>
      </c>
      <c r="W91" s="693"/>
      <c r="X91" s="274"/>
      <c r="Y91" s="160"/>
    </row>
    <row r="92" spans="11:25" s="268" customFormat="1" ht="18" customHeight="1">
      <c r="K92" s="1461" t="s">
        <v>114</v>
      </c>
      <c r="L92" s="1462"/>
      <c r="M92" s="616">
        <v>24575504</v>
      </c>
      <c r="N92" s="668">
        <f>M92</f>
        <v>24575504</v>
      </c>
      <c r="O92" s="192">
        <f>P92</f>
        <v>1661459.66</v>
      </c>
      <c r="P92" s="192">
        <v>1661459.66</v>
      </c>
      <c r="Q92" s="1231">
        <f>P92/P126*100</f>
        <v>0.07707824890732466</v>
      </c>
      <c r="R92" s="624">
        <f>N92-P92</f>
        <v>22914044.34</v>
      </c>
      <c r="S92" s="691">
        <f>T92</f>
        <v>0</v>
      </c>
      <c r="T92" s="691"/>
      <c r="U92" s="1231">
        <f>T92/T126*100</f>
        <v>0</v>
      </c>
      <c r="V92" s="625">
        <f>N92-T92</f>
        <v>24575504</v>
      </c>
      <c r="W92" s="689"/>
      <c r="X92" s="274"/>
      <c r="Y92" s="160"/>
    </row>
    <row r="93" spans="11:25" s="571" customFormat="1" ht="18" customHeight="1">
      <c r="K93" s="1457" t="s">
        <v>115</v>
      </c>
      <c r="L93" s="1458"/>
      <c r="M93" s="682">
        <f>M94+M95+M96</f>
        <v>1132484</v>
      </c>
      <c r="N93" s="682">
        <f>N94+N95+N96</f>
        <v>1132484</v>
      </c>
      <c r="O93" s="682">
        <f>O94+O95+O96</f>
        <v>40939.2</v>
      </c>
      <c r="P93" s="682">
        <f>P94+P95+P96</f>
        <v>40939.2</v>
      </c>
      <c r="Q93" s="604">
        <f>P93/P126*100</f>
        <v>0.0018992467428711125</v>
      </c>
      <c r="R93" s="682">
        <f>R94+R95+R96</f>
        <v>1091544.8</v>
      </c>
      <c r="S93" s="682">
        <f>S94+S95+S96</f>
        <v>0</v>
      </c>
      <c r="T93" s="682">
        <f>T94+T95+T96</f>
        <v>0</v>
      </c>
      <c r="U93" s="604">
        <f>T93/T126*100</f>
        <v>0</v>
      </c>
      <c r="V93" s="682">
        <f>V94+V95+V96</f>
        <v>1132484</v>
      </c>
      <c r="W93" s="682">
        <f>W94+W95+W96</f>
        <v>0</v>
      </c>
      <c r="X93" s="572"/>
      <c r="Y93" s="570"/>
    </row>
    <row r="94" spans="11:25" s="268" customFormat="1" ht="18" customHeight="1">
      <c r="K94" s="1459" t="s">
        <v>70</v>
      </c>
      <c r="L94" s="1460"/>
      <c r="M94" s="607"/>
      <c r="N94" s="607"/>
      <c r="O94" s="103"/>
      <c r="P94" s="630"/>
      <c r="Q94" s="1230"/>
      <c r="R94" s="610"/>
      <c r="S94" s="108"/>
      <c r="T94" s="627"/>
      <c r="U94" s="1230"/>
      <c r="V94" s="607"/>
      <c r="W94" s="693"/>
      <c r="X94" s="274"/>
      <c r="Y94" s="160"/>
    </row>
    <row r="95" spans="11:25" s="268" customFormat="1" ht="18" customHeight="1">
      <c r="K95" s="1459" t="s">
        <v>116</v>
      </c>
      <c r="L95" s="1460"/>
      <c r="M95" s="607"/>
      <c r="N95" s="607"/>
      <c r="O95" s="103"/>
      <c r="P95" s="630"/>
      <c r="Q95" s="1230"/>
      <c r="R95" s="610"/>
      <c r="S95" s="108"/>
      <c r="T95" s="627"/>
      <c r="U95" s="1230"/>
      <c r="V95" s="607"/>
      <c r="W95" s="693"/>
      <c r="X95" s="274"/>
      <c r="Y95" s="160"/>
    </row>
    <row r="96" spans="11:25" s="268" customFormat="1" ht="18" customHeight="1">
      <c r="K96" s="1461" t="s">
        <v>117</v>
      </c>
      <c r="L96" s="1462"/>
      <c r="M96" s="616">
        <v>1132484</v>
      </c>
      <c r="N96" s="616">
        <f>M96</f>
        <v>1132484</v>
      </c>
      <c r="O96" s="192">
        <f>P96</f>
        <v>40939.2</v>
      </c>
      <c r="P96" s="608">
        <v>40939.2</v>
      </c>
      <c r="Q96" s="1231">
        <f>P96/P126*100</f>
        <v>0.0018992467428711125</v>
      </c>
      <c r="R96" s="610">
        <f>N96-P96</f>
        <v>1091544.8</v>
      </c>
      <c r="S96" s="108">
        <f>T96</f>
        <v>0</v>
      </c>
      <c r="T96" s="624"/>
      <c r="U96" s="1231">
        <f>T96/T126*100</f>
        <v>0</v>
      </c>
      <c r="V96" s="607">
        <f>N96-T96</f>
        <v>1132484</v>
      </c>
      <c r="W96" s="689"/>
      <c r="X96" s="274"/>
      <c r="Y96" s="160"/>
    </row>
    <row r="97" spans="11:25" s="571" customFormat="1" ht="18" customHeight="1">
      <c r="K97" s="1457" t="s">
        <v>118</v>
      </c>
      <c r="L97" s="1458"/>
      <c r="M97" s="621">
        <f aca="true" t="shared" si="21" ref="M97:V97">SUM(M98:M101)</f>
        <v>4929775.67</v>
      </c>
      <c r="N97" s="621">
        <f t="shared" si="21"/>
        <v>4929775.67</v>
      </c>
      <c r="O97" s="210">
        <f t="shared" si="21"/>
        <v>399202.88</v>
      </c>
      <c r="P97" s="638">
        <f t="shared" si="21"/>
        <v>399202.88</v>
      </c>
      <c r="Q97" s="604">
        <f>P97/P126*100</f>
        <v>0.01851977492439441</v>
      </c>
      <c r="R97" s="639">
        <f t="shared" si="21"/>
        <v>4530572.79</v>
      </c>
      <c r="S97" s="639">
        <f>SUM(S98:S101)</f>
        <v>57349.22</v>
      </c>
      <c r="T97" s="569">
        <f t="shared" si="21"/>
        <v>57349.22</v>
      </c>
      <c r="U97" s="604">
        <f>T97/T126*100</f>
        <v>0.01956616038388547</v>
      </c>
      <c r="V97" s="638">
        <f t="shared" si="21"/>
        <v>4872426.45</v>
      </c>
      <c r="W97" s="642">
        <f>SUM(W98:W101)</f>
        <v>0</v>
      </c>
      <c r="X97" s="572"/>
      <c r="Y97" s="570"/>
    </row>
    <row r="98" spans="11:52" s="268" customFormat="1" ht="18" customHeight="1">
      <c r="K98" s="1459" t="s">
        <v>70</v>
      </c>
      <c r="L98" s="1460"/>
      <c r="M98" s="612"/>
      <c r="N98" s="612"/>
      <c r="O98" s="103"/>
      <c r="P98" s="608"/>
      <c r="Q98" s="1230"/>
      <c r="R98" s="610"/>
      <c r="S98" s="108"/>
      <c r="T98" s="241"/>
      <c r="U98" s="1230"/>
      <c r="V98" s="607"/>
      <c r="W98" s="693"/>
      <c r="X98" s="274"/>
      <c r="Y98" s="160"/>
      <c r="AZ98" s="684"/>
    </row>
    <row r="99" spans="11:25" s="268" customFormat="1" ht="18" customHeight="1">
      <c r="K99" s="1459" t="s">
        <v>119</v>
      </c>
      <c r="L99" s="1460"/>
      <c r="M99" s="612">
        <v>528000</v>
      </c>
      <c r="N99" s="612">
        <f>M99</f>
        <v>528000</v>
      </c>
      <c r="O99" s="103">
        <f>P99</f>
        <v>0</v>
      </c>
      <c r="P99" s="608"/>
      <c r="Q99" s="1230">
        <f>P99/P126*100</f>
        <v>0</v>
      </c>
      <c r="R99" s="610">
        <f>N99-P99</f>
        <v>528000</v>
      </c>
      <c r="S99" s="108">
        <f>T99</f>
        <v>0</v>
      </c>
      <c r="T99" s="611"/>
      <c r="U99" s="1230">
        <f>T99/T126*100</f>
        <v>0</v>
      </c>
      <c r="V99" s="607">
        <f>N99-T99</f>
        <v>528000</v>
      </c>
      <c r="W99" s="693"/>
      <c r="X99" s="274"/>
      <c r="Y99" s="160"/>
    </row>
    <row r="100" spans="11:25" s="268" customFormat="1" ht="18" customHeight="1">
      <c r="K100" s="1459" t="s">
        <v>285</v>
      </c>
      <c r="L100" s="1460"/>
      <c r="M100" s="607"/>
      <c r="N100" s="612"/>
      <c r="O100" s="103"/>
      <c r="P100" s="608"/>
      <c r="Q100" s="1230"/>
      <c r="R100" s="610"/>
      <c r="S100" s="108"/>
      <c r="T100" s="627"/>
      <c r="U100" s="1230"/>
      <c r="V100" s="607"/>
      <c r="W100" s="693"/>
      <c r="X100" s="274"/>
      <c r="Y100" s="160"/>
    </row>
    <row r="101" spans="11:25" s="268" customFormat="1" ht="18" customHeight="1">
      <c r="K101" s="1461" t="s">
        <v>120</v>
      </c>
      <c r="L101" s="1462"/>
      <c r="M101" s="616">
        <v>4401775.67</v>
      </c>
      <c r="N101" s="618">
        <f>M101</f>
        <v>4401775.67</v>
      </c>
      <c r="O101" s="103">
        <f>P101</f>
        <v>399202.88</v>
      </c>
      <c r="P101" s="683">
        <v>399202.88</v>
      </c>
      <c r="Q101" s="1231">
        <f>P101/P126*100</f>
        <v>0.01851977492439441</v>
      </c>
      <c r="R101" s="624">
        <f>N101-P101</f>
        <v>4002572.79</v>
      </c>
      <c r="S101" s="108">
        <f>T101</f>
        <v>57349.22</v>
      </c>
      <c r="T101" s="108">
        <v>57349.22</v>
      </c>
      <c r="U101" s="1231">
        <f>T101/T126*100</f>
        <v>0.01956616038388547</v>
      </c>
      <c r="V101" s="625">
        <f>N101-T101</f>
        <v>4344426.45</v>
      </c>
      <c r="W101" s="693"/>
      <c r="X101" s="274"/>
      <c r="Y101" s="160"/>
    </row>
    <row r="102" spans="11:25" s="571" customFormat="1" ht="18" customHeight="1">
      <c r="K102" s="1457" t="s">
        <v>121</v>
      </c>
      <c r="L102" s="1458"/>
      <c r="M102" s="621">
        <f aca="true" t="shared" si="22" ref="M102:V102">SUM(M103:M105)</f>
        <v>1510000</v>
      </c>
      <c r="N102" s="621">
        <f t="shared" si="22"/>
        <v>1510000</v>
      </c>
      <c r="O102" s="685">
        <f t="shared" si="22"/>
        <v>0</v>
      </c>
      <c r="P102" s="647">
        <f t="shared" si="22"/>
        <v>0</v>
      </c>
      <c r="Q102" s="604">
        <f>P102/P126*100</f>
        <v>0</v>
      </c>
      <c r="R102" s="648">
        <f t="shared" si="22"/>
        <v>1510000</v>
      </c>
      <c r="S102" s="639">
        <f>SUM(S103:S105)</f>
        <v>0</v>
      </c>
      <c r="T102" s="605">
        <f t="shared" si="22"/>
        <v>0</v>
      </c>
      <c r="U102" s="604">
        <f>T102/T126*100</f>
        <v>0</v>
      </c>
      <c r="V102" s="647">
        <f t="shared" si="22"/>
        <v>1510000</v>
      </c>
      <c r="W102" s="606">
        <f>SUM(W103:W105)</f>
        <v>0</v>
      </c>
      <c r="X102" s="572"/>
      <c r="Y102" s="570"/>
    </row>
    <row r="103" spans="11:25" s="268" customFormat="1" ht="18" customHeight="1">
      <c r="K103" s="851" t="s">
        <v>75</v>
      </c>
      <c r="L103" s="651"/>
      <c r="M103" s="612"/>
      <c r="N103" s="612"/>
      <c r="O103" s="103"/>
      <c r="P103" s="608"/>
      <c r="Q103" s="1230"/>
      <c r="R103" s="610"/>
      <c r="S103" s="108"/>
      <c r="T103" s="241"/>
      <c r="U103" s="1230"/>
      <c r="V103" s="607"/>
      <c r="W103" s="693"/>
      <c r="X103" s="274"/>
      <c r="Y103" s="160"/>
    </row>
    <row r="104" spans="11:25" s="268" customFormat="1" ht="18" customHeight="1">
      <c r="K104" s="1459" t="s">
        <v>70</v>
      </c>
      <c r="L104" s="1460"/>
      <c r="M104" s="612"/>
      <c r="N104" s="612"/>
      <c r="O104" s="103"/>
      <c r="P104" s="608"/>
      <c r="Q104" s="1230"/>
      <c r="R104" s="610"/>
      <c r="S104" s="108"/>
      <c r="T104" s="241"/>
      <c r="U104" s="1230"/>
      <c r="V104" s="607"/>
      <c r="W104" s="693"/>
      <c r="X104" s="274"/>
      <c r="Y104" s="160"/>
    </row>
    <row r="105" spans="11:25" s="268" customFormat="1" ht="18" customHeight="1">
      <c r="K105" s="1449" t="s">
        <v>122</v>
      </c>
      <c r="L105" s="1450"/>
      <c r="M105" s="650">
        <v>1510000</v>
      </c>
      <c r="N105" s="634">
        <f>M105</f>
        <v>1510000</v>
      </c>
      <c r="O105" s="192">
        <f>P105</f>
        <v>0</v>
      </c>
      <c r="P105" s="192"/>
      <c r="Q105" s="1231">
        <f>P105/P126*100</f>
        <v>0</v>
      </c>
      <c r="R105" s="610">
        <f>N105-P105</f>
        <v>1510000</v>
      </c>
      <c r="S105" s="108">
        <f>T105</f>
        <v>0</v>
      </c>
      <c r="T105" s="624"/>
      <c r="U105" s="1231">
        <f>T105/T126*100</f>
        <v>0</v>
      </c>
      <c r="V105" s="607">
        <f>N105-T105</f>
        <v>1510000</v>
      </c>
      <c r="W105" s="689"/>
      <c r="X105" s="274"/>
      <c r="Y105" s="160"/>
    </row>
    <row r="106" spans="11:25" s="571" customFormat="1" ht="18" customHeight="1">
      <c r="K106" s="853" t="s">
        <v>286</v>
      </c>
      <c r="L106" s="651"/>
      <c r="M106" s="621">
        <f aca="true" t="shared" si="23" ref="M106:V106">M107</f>
        <v>8674095.98</v>
      </c>
      <c r="N106" s="686">
        <f t="shared" si="23"/>
        <v>8674095.98</v>
      </c>
      <c r="O106" s="223">
        <f t="shared" si="23"/>
        <v>2164000</v>
      </c>
      <c r="P106" s="638">
        <f t="shared" si="23"/>
        <v>2164000</v>
      </c>
      <c r="Q106" s="604">
        <f>P106/P126*100</f>
        <v>0.10039204360547074</v>
      </c>
      <c r="R106" s="639">
        <f t="shared" si="23"/>
        <v>6510095.98</v>
      </c>
      <c r="S106" s="639">
        <f t="shared" si="23"/>
        <v>333801.6</v>
      </c>
      <c r="T106" s="687">
        <f t="shared" si="23"/>
        <v>333801.6</v>
      </c>
      <c r="U106" s="604">
        <f>T106/T126*100</f>
        <v>0.11388499515769497</v>
      </c>
      <c r="V106" s="688">
        <f t="shared" si="23"/>
        <v>8340294.380000001</v>
      </c>
      <c r="W106" s="864">
        <f>W107</f>
        <v>0</v>
      </c>
      <c r="X106" s="572"/>
      <c r="Y106" s="570"/>
    </row>
    <row r="107" spans="11:25" s="268" customFormat="1" ht="18" customHeight="1">
      <c r="K107" s="854" t="s">
        <v>287</v>
      </c>
      <c r="L107" s="671"/>
      <c r="M107" s="258">
        <v>8674095.98</v>
      </c>
      <c r="N107" s="689">
        <f>M107</f>
        <v>8674095.98</v>
      </c>
      <c r="O107" s="691">
        <f>P107</f>
        <v>2164000</v>
      </c>
      <c r="P107" s="690">
        <v>2164000</v>
      </c>
      <c r="Q107" s="1231">
        <f>P107/P126*100</f>
        <v>0.10039204360547074</v>
      </c>
      <c r="R107" s="610">
        <f>N107-P107</f>
        <v>6510095.98</v>
      </c>
      <c r="S107" s="691">
        <f>T107</f>
        <v>333801.6</v>
      </c>
      <c r="T107" s="691">
        <v>333801.6</v>
      </c>
      <c r="U107" s="1231">
        <f>T107/T126*100</f>
        <v>0.11388499515769497</v>
      </c>
      <c r="V107" s="625">
        <f>N107-T107</f>
        <v>8340294.380000001</v>
      </c>
      <c r="W107" s="689"/>
      <c r="X107" s="274"/>
      <c r="Y107" s="160"/>
    </row>
    <row r="108" spans="11:25" s="571" customFormat="1" ht="18" customHeight="1">
      <c r="K108" s="1457" t="s">
        <v>123</v>
      </c>
      <c r="L108" s="1458"/>
      <c r="M108" s="621">
        <f aca="true" t="shared" si="24" ref="M108:T108">M111+M109+M110</f>
        <v>20762346.63</v>
      </c>
      <c r="N108" s="621">
        <f t="shared" si="24"/>
        <v>20762346.63</v>
      </c>
      <c r="O108" s="692">
        <f t="shared" si="24"/>
        <v>2775543.5</v>
      </c>
      <c r="P108" s="647">
        <f t="shared" si="24"/>
        <v>2775543.5</v>
      </c>
      <c r="Q108" s="604">
        <f>P108/P126*100</f>
        <v>0.12876270059190428</v>
      </c>
      <c r="R108" s="639">
        <f t="shared" si="24"/>
        <v>17986803.13</v>
      </c>
      <c r="S108" s="648">
        <f>S111+S109+S110</f>
        <v>871119.45</v>
      </c>
      <c r="T108" s="687">
        <f t="shared" si="24"/>
        <v>871119.45</v>
      </c>
      <c r="U108" s="604">
        <f>T108/T126*100</f>
        <v>0.29720478974643594</v>
      </c>
      <c r="V108" s="642">
        <f>V109+V110+V111</f>
        <v>19891227.18</v>
      </c>
      <c r="W108" s="642">
        <f>W109+W110+W111</f>
        <v>0</v>
      </c>
      <c r="X108" s="572"/>
      <c r="Y108" s="570"/>
    </row>
    <row r="109" spans="11:25" s="268" customFormat="1" ht="18" customHeight="1">
      <c r="K109" s="1459" t="s">
        <v>77</v>
      </c>
      <c r="L109" s="1460"/>
      <c r="M109" s="607"/>
      <c r="N109" s="612"/>
      <c r="O109" s="103"/>
      <c r="P109" s="608"/>
      <c r="Q109" s="1230"/>
      <c r="R109" s="610"/>
      <c r="S109" s="108"/>
      <c r="T109" s="627"/>
      <c r="U109" s="1230"/>
      <c r="V109" s="607"/>
      <c r="W109" s="693"/>
      <c r="X109" s="274"/>
      <c r="Y109" s="160"/>
    </row>
    <row r="110" spans="11:25" s="268" customFormat="1" ht="18" customHeight="1">
      <c r="K110" s="851" t="s">
        <v>109</v>
      </c>
      <c r="L110" s="655"/>
      <c r="M110" s="607"/>
      <c r="N110" s="612"/>
      <c r="O110" s="103"/>
      <c r="P110" s="608"/>
      <c r="Q110" s="1230"/>
      <c r="R110" s="610"/>
      <c r="S110" s="108"/>
      <c r="T110" s="627"/>
      <c r="U110" s="1230"/>
      <c r="V110" s="607"/>
      <c r="W110" s="693"/>
      <c r="X110" s="274"/>
      <c r="Y110" s="160"/>
    </row>
    <row r="111" spans="11:25" s="268" customFormat="1" ht="18" customHeight="1">
      <c r="K111" s="1461" t="s">
        <v>124</v>
      </c>
      <c r="L111" s="1462"/>
      <c r="M111" s="616">
        <v>20762346.63</v>
      </c>
      <c r="N111" s="618">
        <f>M111</f>
        <v>20762346.63</v>
      </c>
      <c r="O111" s="192">
        <f>P111</f>
        <v>2775543.5</v>
      </c>
      <c r="P111" s="192">
        <v>2775543.5</v>
      </c>
      <c r="Q111" s="1231">
        <f>P111/P126*100</f>
        <v>0.12876270059190428</v>
      </c>
      <c r="R111" s="624">
        <f>N111-P111</f>
        <v>17986803.13</v>
      </c>
      <c r="S111" s="691">
        <f>T111</f>
        <v>871119.45</v>
      </c>
      <c r="T111" s="691">
        <v>871119.45</v>
      </c>
      <c r="U111" s="1231">
        <f>T111/T126*100</f>
        <v>0.29720478974643594</v>
      </c>
      <c r="V111" s="625">
        <f>N111-T111</f>
        <v>19891227.18</v>
      </c>
      <c r="W111" s="689"/>
      <c r="X111" s="274"/>
      <c r="Y111" s="160"/>
    </row>
    <row r="112" spans="11:25" s="571" customFormat="1" ht="18" customHeight="1">
      <c r="K112" s="1457" t="s">
        <v>125</v>
      </c>
      <c r="L112" s="1458"/>
      <c r="M112" s="621">
        <f>M113+M114</f>
        <v>2310000</v>
      </c>
      <c r="N112" s="621">
        <f>N113+N114</f>
        <v>2310000</v>
      </c>
      <c r="O112" s="621">
        <f>O113+O114</f>
        <v>0</v>
      </c>
      <c r="P112" s="621">
        <f>P113+P114</f>
        <v>0</v>
      </c>
      <c r="Q112" s="604">
        <f>P112/P126*100</f>
        <v>0</v>
      </c>
      <c r="R112" s="621">
        <f>R113+R114</f>
        <v>2310000</v>
      </c>
      <c r="S112" s="621">
        <f>S113+S114</f>
        <v>0</v>
      </c>
      <c r="T112" s="621">
        <f>T113+T114</f>
        <v>0</v>
      </c>
      <c r="U112" s="604">
        <f>T112/T126*100</f>
        <v>0</v>
      </c>
      <c r="V112" s="621">
        <f>V113+V114</f>
        <v>2310000</v>
      </c>
      <c r="W112" s="621">
        <f>W113+W114</f>
        <v>0</v>
      </c>
      <c r="X112" s="572"/>
      <c r="Y112" s="570"/>
    </row>
    <row r="113" spans="11:25" s="268" customFormat="1" ht="18" customHeight="1">
      <c r="K113" s="1459" t="s">
        <v>70</v>
      </c>
      <c r="L113" s="1460"/>
      <c r="M113" s="607"/>
      <c r="N113" s="607"/>
      <c r="O113" s="103"/>
      <c r="P113" s="608"/>
      <c r="Q113" s="1230"/>
      <c r="R113" s="610"/>
      <c r="S113" s="108"/>
      <c r="T113" s="627"/>
      <c r="U113" s="1230"/>
      <c r="V113" s="607"/>
      <c r="W113" s="693"/>
      <c r="X113" s="274"/>
      <c r="Y113" s="160"/>
    </row>
    <row r="114" spans="11:25" s="268" customFormat="1" ht="18" customHeight="1">
      <c r="K114" s="1449" t="s">
        <v>126</v>
      </c>
      <c r="L114" s="1450"/>
      <c r="M114" s="650">
        <v>2310000</v>
      </c>
      <c r="N114" s="650">
        <f>M114</f>
        <v>2310000</v>
      </c>
      <c r="O114" s="192">
        <f>P114</f>
        <v>0</v>
      </c>
      <c r="P114" s="192"/>
      <c r="Q114" s="1231">
        <f>P114/P126*100</f>
        <v>0</v>
      </c>
      <c r="R114" s="624">
        <f>N114-P114</f>
        <v>2310000</v>
      </c>
      <c r="S114" s="691">
        <f>T114</f>
        <v>0</v>
      </c>
      <c r="T114" s="691"/>
      <c r="U114" s="1231">
        <f>T114/T126*100</f>
        <v>0</v>
      </c>
      <c r="V114" s="625">
        <f>N114-T114</f>
        <v>2310000</v>
      </c>
      <c r="W114" s="689"/>
      <c r="X114" s="274"/>
      <c r="Y114" s="160"/>
    </row>
    <row r="115" spans="11:25" s="571" customFormat="1" ht="18" customHeight="1">
      <c r="K115" s="1451" t="s">
        <v>127</v>
      </c>
      <c r="L115" s="1452"/>
      <c r="M115" s="637">
        <f>M116+M117+M118+M119</f>
        <v>118717915.32</v>
      </c>
      <c r="N115" s="637">
        <f>N116+N117+N118+N119</f>
        <v>118717915.32</v>
      </c>
      <c r="O115" s="637">
        <f>O116+O117+O118+O119</f>
        <v>41438475.29</v>
      </c>
      <c r="P115" s="637">
        <f>P116+P117+P118+P119</f>
        <v>41438475.29</v>
      </c>
      <c r="Q115" s="609">
        <f>P115/P126*100</f>
        <v>1.9224090657384019</v>
      </c>
      <c r="R115" s="637">
        <f>R116+R117+R118+R119</f>
        <v>77279440.02999999</v>
      </c>
      <c r="S115" s="637">
        <f>S116+S117+S118+S119</f>
        <v>15632249.16</v>
      </c>
      <c r="T115" s="637">
        <f>T116+T117+T118+T119</f>
        <v>15632249.16</v>
      </c>
      <c r="U115" s="609">
        <f>T115/T126*100</f>
        <v>5.33334357861221</v>
      </c>
      <c r="V115" s="637">
        <f>V116+V117+V118+V119</f>
        <v>103085666.16</v>
      </c>
      <c r="W115" s="637">
        <f>W116+W117+W118+W119</f>
        <v>0</v>
      </c>
      <c r="X115" s="572"/>
      <c r="Y115" s="570"/>
    </row>
    <row r="116" spans="11:25" s="268" customFormat="1" ht="18" customHeight="1">
      <c r="K116" s="1453" t="s">
        <v>70</v>
      </c>
      <c r="L116" s="1454"/>
      <c r="M116" s="607"/>
      <c r="N116" s="607"/>
      <c r="O116" s="103"/>
      <c r="P116" s="103"/>
      <c r="Q116" s="1230"/>
      <c r="R116" s="610"/>
      <c r="S116" s="108"/>
      <c r="T116" s="108"/>
      <c r="U116" s="1230"/>
      <c r="V116" s="607"/>
      <c r="W116" s="693"/>
      <c r="X116" s="274"/>
      <c r="Y116" s="160"/>
    </row>
    <row r="117" spans="11:25" s="268" customFormat="1" ht="18" customHeight="1">
      <c r="K117" s="851" t="s">
        <v>88</v>
      </c>
      <c r="L117" s="567"/>
      <c r="M117" s="607">
        <v>26943367</v>
      </c>
      <c r="N117" s="607">
        <f>M117</f>
        <v>26943367</v>
      </c>
      <c r="O117" s="103">
        <f>P117</f>
        <v>26943367</v>
      </c>
      <c r="P117" s="103">
        <v>26943367</v>
      </c>
      <c r="Q117" s="1230">
        <f>P117/P126*100</f>
        <v>1.2499536389751393</v>
      </c>
      <c r="R117" s="610">
        <f>N117-P117</f>
        <v>0</v>
      </c>
      <c r="S117" s="108">
        <f>T117</f>
        <v>1533212.01</v>
      </c>
      <c r="T117" s="108">
        <v>1533212.01</v>
      </c>
      <c r="U117" s="1230">
        <f>T117/T126*100</f>
        <v>0.523094683592199</v>
      </c>
      <c r="V117" s="607">
        <f>N117-T117</f>
        <v>25410154.99</v>
      </c>
      <c r="W117" s="693"/>
      <c r="X117" s="274"/>
      <c r="Y117" s="160"/>
    </row>
    <row r="118" spans="11:25" s="268" customFormat="1" ht="18" customHeight="1">
      <c r="K118" s="1453" t="s">
        <v>128</v>
      </c>
      <c r="L118" s="1454"/>
      <c r="M118" s="607">
        <v>74439820.32</v>
      </c>
      <c r="N118" s="607">
        <f>M118</f>
        <v>74439820.32</v>
      </c>
      <c r="O118" s="103">
        <f>P118</f>
        <v>10443414.99</v>
      </c>
      <c r="P118" s="103">
        <v>10443414.99</v>
      </c>
      <c r="Q118" s="1230">
        <f>P118/P126*100</f>
        <v>0.4844897287736168</v>
      </c>
      <c r="R118" s="610">
        <f>N118-P118</f>
        <v>63996405.32999999</v>
      </c>
      <c r="S118" s="944">
        <f>T118</f>
        <v>10443414.99</v>
      </c>
      <c r="T118" s="108">
        <v>10443414.99</v>
      </c>
      <c r="U118" s="1230">
        <f>T118/T126*100</f>
        <v>3.563039438894089</v>
      </c>
      <c r="V118" s="607">
        <f>N118-T118</f>
        <v>63996405.32999999</v>
      </c>
      <c r="W118" s="693"/>
      <c r="X118" s="274"/>
      <c r="Y118" s="160"/>
    </row>
    <row r="119" spans="11:25" s="268" customFormat="1" ht="18" customHeight="1">
      <c r="K119" s="1455" t="s">
        <v>129</v>
      </c>
      <c r="L119" s="1456"/>
      <c r="M119" s="616">
        <v>17334728</v>
      </c>
      <c r="N119" s="616">
        <f>M119</f>
        <v>17334728</v>
      </c>
      <c r="O119" s="192">
        <f>P119</f>
        <v>4051693.3</v>
      </c>
      <c r="P119" s="192">
        <v>4051693.3</v>
      </c>
      <c r="Q119" s="1231">
        <f>P119/P126*100</f>
        <v>0.18796569798964585</v>
      </c>
      <c r="R119" s="624">
        <f>N119-P119</f>
        <v>13283034.7</v>
      </c>
      <c r="S119" s="691">
        <f>T119</f>
        <v>3655622.16</v>
      </c>
      <c r="T119" s="691">
        <v>3655622.16</v>
      </c>
      <c r="U119" s="1231">
        <f>T119/T126*100</f>
        <v>1.2472094561259217</v>
      </c>
      <c r="V119" s="625">
        <f>N119-T119</f>
        <v>13679105.84</v>
      </c>
      <c r="W119" s="693"/>
      <c r="X119" s="274"/>
      <c r="Y119" s="160"/>
    </row>
    <row r="120" spans="11:25" s="571" customFormat="1" ht="19.5" customHeight="1">
      <c r="K120" s="1457" t="s">
        <v>130</v>
      </c>
      <c r="L120" s="1458"/>
      <c r="M120" s="621">
        <f>M121+M122</f>
        <v>4000000</v>
      </c>
      <c r="N120" s="621">
        <f aca="true" t="shared" si="25" ref="N120:V120">N121+N122</f>
        <v>4000000</v>
      </c>
      <c r="O120" s="621">
        <f t="shared" si="25"/>
        <v>0</v>
      </c>
      <c r="P120" s="621">
        <f t="shared" si="25"/>
        <v>0</v>
      </c>
      <c r="Q120" s="604">
        <f>P120/P126*100</f>
        <v>0</v>
      </c>
      <c r="R120" s="626">
        <f t="shared" si="25"/>
        <v>4000000</v>
      </c>
      <c r="S120" s="626">
        <f t="shared" si="25"/>
        <v>0</v>
      </c>
      <c r="T120" s="569">
        <f t="shared" si="25"/>
        <v>0</v>
      </c>
      <c r="U120" s="604">
        <f>T120/T126*100</f>
        <v>0</v>
      </c>
      <c r="V120" s="621">
        <f t="shared" si="25"/>
        <v>4000000</v>
      </c>
      <c r="W120" s="606">
        <f>W121+W122</f>
        <v>0</v>
      </c>
      <c r="X120" s="572"/>
      <c r="Y120" s="570"/>
    </row>
    <row r="121" spans="11:25" s="571" customFormat="1" ht="19.5" customHeight="1">
      <c r="K121" s="1459" t="s">
        <v>288</v>
      </c>
      <c r="L121" s="1460"/>
      <c r="M121" s="612"/>
      <c r="N121" s="693"/>
      <c r="O121" s="103"/>
      <c r="P121" s="612"/>
      <c r="Q121" s="1230"/>
      <c r="R121" s="610"/>
      <c r="S121" s="108"/>
      <c r="T121" s="627"/>
      <c r="U121" s="1230"/>
      <c r="V121" s="607"/>
      <c r="W121" s="693"/>
      <c r="X121" s="274"/>
      <c r="Y121" s="570"/>
    </row>
    <row r="122" spans="11:25" s="268" customFormat="1" ht="19.5" customHeight="1">
      <c r="K122" s="1459" t="s">
        <v>131</v>
      </c>
      <c r="L122" s="1460"/>
      <c r="M122" s="616">
        <v>4000000</v>
      </c>
      <c r="N122" s="618">
        <f>M122</f>
        <v>4000000</v>
      </c>
      <c r="O122" s="103">
        <f>P122</f>
        <v>0</v>
      </c>
      <c r="P122" s="862">
        <v>0</v>
      </c>
      <c r="Q122" s="1231">
        <f>P122/P126*100</f>
        <v>0</v>
      </c>
      <c r="R122" s="624">
        <f>N122-P122</f>
        <v>4000000</v>
      </c>
      <c r="S122" s="108">
        <f>T122</f>
        <v>0</v>
      </c>
      <c r="T122" s="611">
        <v>0</v>
      </c>
      <c r="U122" s="1231">
        <f>T122/T126*100</f>
        <v>0</v>
      </c>
      <c r="V122" s="607">
        <f>N122-T122</f>
        <v>4000000</v>
      </c>
      <c r="W122" s="693"/>
      <c r="X122" s="274"/>
      <c r="Y122" s="160"/>
    </row>
    <row r="123" spans="11:25" s="268" customFormat="1" ht="7.5" customHeight="1">
      <c r="K123" s="1442"/>
      <c r="L123" s="1443"/>
      <c r="M123" s="694"/>
      <c r="N123" s="694"/>
      <c r="O123" s="695"/>
      <c r="P123" s="919"/>
      <c r="Q123" s="696"/>
      <c r="R123" s="695"/>
      <c r="S123" s="697"/>
      <c r="T123" s="694"/>
      <c r="U123" s="696"/>
      <c r="V123" s="698"/>
      <c r="W123" s="865"/>
      <c r="X123" s="274"/>
      <c r="Y123" s="160"/>
    </row>
    <row r="124" spans="11:25" s="571" customFormat="1" ht="15" customHeight="1">
      <c r="K124" s="867" t="s">
        <v>308</v>
      </c>
      <c r="L124" s="699"/>
      <c r="M124" s="700">
        <v>95845613</v>
      </c>
      <c r="N124" s="701">
        <f>M124</f>
        <v>95845613</v>
      </c>
      <c r="O124" s="732">
        <f>P124</f>
        <v>72056633</v>
      </c>
      <c r="P124" s="732">
        <v>72056633</v>
      </c>
      <c r="Q124" s="702">
        <f>P124/P126*100</f>
        <v>3.3428431803139564</v>
      </c>
      <c r="R124" s="703">
        <f>N124-P124</f>
        <v>23788980</v>
      </c>
      <c r="S124" s="732">
        <f>T124</f>
        <v>10025125.86</v>
      </c>
      <c r="T124" s="731">
        <v>10025125.86</v>
      </c>
      <c r="U124" s="702">
        <f>T124/T126*100</f>
        <v>3.420329351391313</v>
      </c>
      <c r="V124" s="704">
        <f>N124-T124</f>
        <v>85820487.14</v>
      </c>
      <c r="W124" s="976"/>
      <c r="X124" s="572"/>
      <c r="Y124" s="259"/>
    </row>
    <row r="125" spans="11:25" s="268" customFormat="1" ht="15" customHeight="1">
      <c r="K125" s="852"/>
      <c r="L125" s="615"/>
      <c r="M125" s="668"/>
      <c r="N125" s="668"/>
      <c r="O125" s="668"/>
      <c r="P125" s="668"/>
      <c r="Q125" s="696"/>
      <c r="R125" s="668"/>
      <c r="S125" s="705"/>
      <c r="T125" s="668"/>
      <c r="U125" s="696"/>
      <c r="V125" s="668"/>
      <c r="W125" s="705"/>
      <c r="X125" s="706"/>
      <c r="Y125" s="160"/>
    </row>
    <row r="126" spans="11:25" s="570" customFormat="1" ht="18" customHeight="1">
      <c r="K126" s="1444" t="s">
        <v>132</v>
      </c>
      <c r="L126" s="1445"/>
      <c r="M126" s="707">
        <f>M12+M124</f>
        <v>3501640568.36</v>
      </c>
      <c r="N126" s="707">
        <f>N12+N124</f>
        <v>3544468169.4300003</v>
      </c>
      <c r="O126" s="707">
        <f>O12+O124</f>
        <v>2155549306.78</v>
      </c>
      <c r="P126" s="707">
        <f>P12+P124</f>
        <v>2155549306.78</v>
      </c>
      <c r="Q126" s="702">
        <f>P126/P126*100</f>
        <v>100</v>
      </c>
      <c r="R126" s="708">
        <f>R12+R124</f>
        <v>1388918862.6499999</v>
      </c>
      <c r="S126" s="709">
        <f>S12+S124</f>
        <v>293104108.7</v>
      </c>
      <c r="T126" s="708">
        <f>T12+T124</f>
        <v>293104108.7</v>
      </c>
      <c r="U126" s="702">
        <f>T126/T126*100</f>
        <v>100</v>
      </c>
      <c r="V126" s="707">
        <f>V12+V124</f>
        <v>3251364060.7299995</v>
      </c>
      <c r="W126" s="866">
        <f>W12+W124</f>
        <v>0</v>
      </c>
      <c r="X126" s="572"/>
      <c r="Y126" s="155"/>
    </row>
    <row r="127" spans="11:25" s="571" customFormat="1" ht="18" customHeight="1">
      <c r="K127" s="567" t="str">
        <f>'Anexo 1 _ BAL ORC'!A94</f>
        <v>FONTE: SECRETARIA MUNICIPAL DA FAZENDA</v>
      </c>
      <c r="L127" s="568"/>
      <c r="M127" s="569"/>
      <c r="N127" s="569"/>
      <c r="O127" s="569"/>
      <c r="P127" s="569"/>
      <c r="Q127" s="569"/>
      <c r="R127" s="569"/>
      <c r="S127" s="569"/>
      <c r="T127" s="569"/>
      <c r="U127" s="569"/>
      <c r="V127" s="569"/>
      <c r="W127" s="98"/>
      <c r="X127" s="274"/>
      <c r="Y127" s="570"/>
    </row>
    <row r="128" spans="11:25" s="571" customFormat="1" ht="29.25" customHeight="1">
      <c r="K128" s="1446" t="str">
        <f>'Anexo 1 _ BAL ORC'!A95</f>
        <v>Nota: 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v>
      </c>
      <c r="L128" s="1446"/>
      <c r="M128" s="1446"/>
      <c r="N128" s="1446"/>
      <c r="O128" s="1446"/>
      <c r="P128" s="1446"/>
      <c r="Q128" s="1446"/>
      <c r="R128" s="1446"/>
      <c r="S128" s="1446"/>
      <c r="T128" s="1446"/>
      <c r="U128" s="1446"/>
      <c r="V128" s="1446"/>
      <c r="W128" s="1446"/>
      <c r="X128" s="572"/>
      <c r="Y128" s="570"/>
    </row>
    <row r="129" spans="11:25" s="571" customFormat="1" ht="18" customHeight="1">
      <c r="K129" s="573" t="str">
        <f>'Anexo 1 _ BAL ORC'!A96</f>
        <v>a) Despesas liquidadas, consideradas aquelas em que houve a entrega do material ou serviço, nos termos do art. 63 da Lei 4.320/64;</v>
      </c>
      <c r="L129" s="568"/>
      <c r="M129" s="569"/>
      <c r="N129" s="569"/>
      <c r="O129" s="569"/>
      <c r="P129" s="569"/>
      <c r="Q129" s="569"/>
      <c r="R129" s="569"/>
      <c r="S129" s="569"/>
      <c r="T129" s="569"/>
      <c r="U129" s="569"/>
      <c r="V129" s="569"/>
      <c r="W129" s="241"/>
      <c r="X129" s="572"/>
      <c r="Y129" s="570"/>
    </row>
    <row r="130" spans="11:25" s="571" customFormat="1" ht="18" customHeight="1">
      <c r="K130" s="573" t="str">
        <f>'Anexo 1 _ BAL ORC'!A97</f>
        <v>b) Despesas empenhadas mas não liquidadas, inscritas em Restos a Pagar não-processados, consideradas liquidadas no encerramento do exercício, por força do art.35, inciso II da Lei 4.320/64.</v>
      </c>
      <c r="L130" s="568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241"/>
      <c r="X130" s="572"/>
      <c r="Y130" s="570"/>
    </row>
    <row r="131" spans="11:25" s="268" customFormat="1" ht="27.75" customHeight="1">
      <c r="K131" s="574" t="str">
        <f>'Anexo 1 _ BAL ORC'!A99</f>
        <v>  São Luís, 24 de março de 2021</v>
      </c>
      <c r="L131" s="574"/>
      <c r="M131" s="575"/>
      <c r="N131" s="575"/>
      <c r="O131" s="575"/>
      <c r="P131" s="576"/>
      <c r="Q131" s="576"/>
      <c r="R131" s="576"/>
      <c r="S131" s="575"/>
      <c r="T131" s="576"/>
      <c r="U131" s="576"/>
      <c r="V131" s="160"/>
      <c r="W131" s="239"/>
      <c r="X131" s="160"/>
      <c r="Y131" s="160"/>
    </row>
    <row r="132" spans="11:23" s="160" customFormat="1" ht="15">
      <c r="K132" s="1447"/>
      <c r="L132" s="1447"/>
      <c r="M132" s="578"/>
      <c r="N132" s="579"/>
      <c r="O132" s="580"/>
      <c r="P132" s="229"/>
      <c r="Q132" s="229"/>
      <c r="R132" s="229"/>
      <c r="S132" s="577"/>
      <c r="T132" s="581"/>
      <c r="U132" s="579"/>
      <c r="V132" s="242"/>
      <c r="W132" s="242"/>
    </row>
    <row r="133" spans="11:23" s="160" customFormat="1" ht="15">
      <c r="K133" s="1448"/>
      <c r="L133" s="1448"/>
      <c r="M133" s="1448"/>
      <c r="N133" s="1448"/>
      <c r="O133" s="582"/>
      <c r="P133" s="229"/>
      <c r="Q133" s="229"/>
      <c r="R133" s="229"/>
      <c r="S133" s="583"/>
      <c r="T133" s="581"/>
      <c r="U133" s="581"/>
      <c r="V133" s="242"/>
      <c r="W133" s="584"/>
    </row>
    <row r="134" spans="11:25" s="268" customFormat="1" ht="18" customHeight="1">
      <c r="K134" s="578"/>
      <c r="L134" s="578"/>
      <c r="M134" s="578"/>
      <c r="N134" s="242"/>
      <c r="O134" s="585"/>
      <c r="P134" s="115"/>
      <c r="Q134" s="115"/>
      <c r="R134" s="115"/>
      <c r="S134" s="585"/>
      <c r="T134" s="242"/>
      <c r="U134" s="242"/>
      <c r="V134" s="242"/>
      <c r="W134" s="242"/>
      <c r="X134" s="160"/>
      <c r="Y134" s="160"/>
    </row>
    <row r="135" spans="11:25" s="268" customFormat="1" ht="18" customHeight="1">
      <c r="K135" s="578"/>
      <c r="L135" s="578"/>
      <c r="M135" s="578"/>
      <c r="N135" s="242"/>
      <c r="O135" s="585"/>
      <c r="P135" s="583"/>
      <c r="Q135" s="583"/>
      <c r="R135" s="583"/>
      <c r="S135" s="585"/>
      <c r="T135" s="242"/>
      <c r="U135" s="242"/>
      <c r="V135" s="242"/>
      <c r="W135" s="242"/>
      <c r="X135" s="160"/>
      <c r="Y135" s="160"/>
    </row>
    <row r="136" spans="11:25" s="268" customFormat="1" ht="18" customHeight="1">
      <c r="K136" s="578"/>
      <c r="L136" s="578"/>
      <c r="M136" s="578"/>
      <c r="N136" s="242"/>
      <c r="O136" s="585"/>
      <c r="P136" s="242"/>
      <c r="Q136" s="242"/>
      <c r="R136" s="242"/>
      <c r="S136" s="585"/>
      <c r="T136" s="242"/>
      <c r="U136" s="242"/>
      <c r="V136" s="242"/>
      <c r="W136" s="242"/>
      <c r="X136" s="160"/>
      <c r="Y136" s="160"/>
    </row>
    <row r="137" spans="11:25" s="268" customFormat="1" ht="18" customHeight="1">
      <c r="K137" s="237"/>
      <c r="L137" s="237"/>
      <c r="M137" s="237"/>
      <c r="N137" s="581"/>
      <c r="O137" s="585"/>
      <c r="P137" s="585"/>
      <c r="Q137" s="585"/>
      <c r="R137" s="585"/>
      <c r="S137" s="585"/>
      <c r="T137" s="585"/>
      <c r="U137" s="585"/>
      <c r="V137" s="242"/>
      <c r="W137" s="242"/>
      <c r="X137" s="160"/>
      <c r="Y137" s="160"/>
    </row>
    <row r="138" spans="11:25" s="268" customFormat="1" ht="18" customHeight="1">
      <c r="K138" s="237"/>
      <c r="L138" s="237"/>
      <c r="M138" s="237"/>
      <c r="N138" s="581"/>
      <c r="O138" s="585"/>
      <c r="P138" s="585"/>
      <c r="Q138" s="585"/>
      <c r="R138" s="585"/>
      <c r="S138" s="585"/>
      <c r="T138" s="585"/>
      <c r="U138" s="585"/>
      <c r="V138" s="586"/>
      <c r="W138" s="586"/>
      <c r="X138" s="570"/>
      <c r="Y138" s="160"/>
    </row>
    <row r="139" spans="11:25" s="268" customFormat="1" ht="18" customHeight="1">
      <c r="K139" s="237"/>
      <c r="L139" s="237"/>
      <c r="M139" s="237"/>
      <c r="N139" s="581"/>
      <c r="O139" s="585"/>
      <c r="P139" s="585"/>
      <c r="Q139" s="585"/>
      <c r="R139" s="585"/>
      <c r="S139" s="585"/>
      <c r="T139" s="585"/>
      <c r="U139" s="585"/>
      <c r="V139" s="242"/>
      <c r="W139" s="242"/>
      <c r="X139" s="160"/>
      <c r="Y139" s="160"/>
    </row>
    <row r="140" spans="11:25" s="250" customFormat="1" ht="18" customHeight="1">
      <c r="K140" s="251"/>
      <c r="L140" s="251"/>
      <c r="M140" s="251"/>
      <c r="N140" s="245"/>
      <c r="O140" s="249"/>
      <c r="P140" s="252"/>
      <c r="Q140" s="252"/>
      <c r="R140" s="252"/>
      <c r="S140" s="252"/>
      <c r="T140" s="252"/>
      <c r="U140" s="252"/>
      <c r="V140" s="252"/>
      <c r="W140" s="246"/>
      <c r="X140" s="247"/>
      <c r="Y140" s="247"/>
    </row>
    <row r="141" spans="11:25" s="250" customFormat="1" ht="18" customHeight="1">
      <c r="K141" s="251"/>
      <c r="L141" s="251"/>
      <c r="M141" s="251"/>
      <c r="N141" s="245"/>
      <c r="O141" s="249"/>
      <c r="P141" s="252"/>
      <c r="Q141" s="252"/>
      <c r="R141" s="252"/>
      <c r="S141" s="252"/>
      <c r="T141" s="252"/>
      <c r="U141" s="252"/>
      <c r="V141" s="252"/>
      <c r="W141" s="246"/>
      <c r="X141" s="247"/>
      <c r="Y141" s="247"/>
    </row>
    <row r="142" spans="11:25" s="250" customFormat="1" ht="18" customHeight="1">
      <c r="K142" s="251"/>
      <c r="L142" s="251"/>
      <c r="M142" s="251"/>
      <c r="N142" s="245"/>
      <c r="O142" s="249"/>
      <c r="P142" s="252"/>
      <c r="Q142" s="252"/>
      <c r="R142" s="252"/>
      <c r="S142" s="252"/>
      <c r="T142" s="252"/>
      <c r="U142" s="252"/>
      <c r="V142" s="252"/>
      <c r="W142" s="246"/>
      <c r="X142" s="247"/>
      <c r="Y142" s="247"/>
    </row>
    <row r="143" spans="11:25" s="250" customFormat="1" ht="18" customHeight="1">
      <c r="K143" s="251"/>
      <c r="L143" s="251"/>
      <c r="M143" s="251"/>
      <c r="N143" s="245"/>
      <c r="O143" s="252"/>
      <c r="P143" s="252"/>
      <c r="Q143" s="252"/>
      <c r="R143" s="252"/>
      <c r="S143" s="252"/>
      <c r="T143" s="252"/>
      <c r="U143" s="252"/>
      <c r="V143" s="252"/>
      <c r="W143" s="246"/>
      <c r="X143" s="247"/>
      <c r="Y143" s="247"/>
    </row>
    <row r="144" spans="11:25" s="250" customFormat="1" ht="18" customHeight="1">
      <c r="K144" s="251"/>
      <c r="L144" s="251"/>
      <c r="M144" s="251"/>
      <c r="N144" s="245"/>
      <c r="O144" s="249"/>
      <c r="P144" s="252"/>
      <c r="Q144" s="252"/>
      <c r="R144" s="252"/>
      <c r="S144" s="252"/>
      <c r="T144" s="252"/>
      <c r="U144" s="252"/>
      <c r="V144" s="252"/>
      <c r="W144" s="246"/>
      <c r="X144" s="247"/>
      <c r="Y144" s="247"/>
    </row>
    <row r="145" spans="11:25" s="250" customFormat="1" ht="18" customHeight="1">
      <c r="K145" s="251"/>
      <c r="L145" s="251"/>
      <c r="M145" s="251"/>
      <c r="N145" s="245"/>
      <c r="O145" s="249"/>
      <c r="P145" s="249"/>
      <c r="Q145" s="249"/>
      <c r="R145" s="249"/>
      <c r="S145" s="252"/>
      <c r="T145" s="252"/>
      <c r="U145" s="252"/>
      <c r="V145" s="252"/>
      <c r="W145" s="246"/>
      <c r="X145" s="247"/>
      <c r="Y145" s="247"/>
    </row>
    <row r="146" spans="11:25" s="250" customFormat="1" ht="18" customHeight="1">
      <c r="K146" s="251"/>
      <c r="L146" s="251"/>
      <c r="M146" s="251"/>
      <c r="N146" s="245"/>
      <c r="O146" s="249"/>
      <c r="P146" s="249"/>
      <c r="Q146" s="249"/>
      <c r="R146" s="249"/>
      <c r="S146" s="252"/>
      <c r="T146" s="252"/>
      <c r="U146" s="252"/>
      <c r="V146" s="252"/>
      <c r="W146" s="246"/>
      <c r="X146" s="247"/>
      <c r="Y146" s="247"/>
    </row>
    <row r="147" spans="11:25" s="250" customFormat="1" ht="18" customHeight="1">
      <c r="K147" s="251"/>
      <c r="L147" s="251"/>
      <c r="M147" s="253"/>
      <c r="N147" s="254"/>
      <c r="O147" s="249"/>
      <c r="P147" s="252"/>
      <c r="Q147" s="252"/>
      <c r="R147" s="252"/>
      <c r="S147" s="252"/>
      <c r="T147" s="252"/>
      <c r="U147" s="252"/>
      <c r="V147" s="252"/>
      <c r="W147" s="246"/>
      <c r="X147" s="247"/>
      <c r="Y147" s="247"/>
    </row>
    <row r="148" spans="11:25" s="250" customFormat="1" ht="14.25">
      <c r="K148" s="251"/>
      <c r="L148" s="251"/>
      <c r="M148" s="253"/>
      <c r="N148" s="254"/>
      <c r="O148" s="252"/>
      <c r="P148" s="252"/>
      <c r="Q148" s="252"/>
      <c r="R148" s="252"/>
      <c r="S148" s="252"/>
      <c r="T148" s="252"/>
      <c r="U148" s="249"/>
      <c r="V148" s="246"/>
      <c r="W148" s="246"/>
      <c r="X148" s="247"/>
      <c r="Y148" s="247"/>
    </row>
    <row r="149" spans="11:25" s="250" customFormat="1" ht="14.25">
      <c r="K149" s="251"/>
      <c r="L149" s="251"/>
      <c r="M149" s="253"/>
      <c r="N149" s="254"/>
      <c r="O149" s="252"/>
      <c r="P149" s="252"/>
      <c r="Q149" s="252"/>
      <c r="R149" s="252"/>
      <c r="S149" s="252"/>
      <c r="T149" s="252"/>
      <c r="U149" s="249"/>
      <c r="V149" s="246"/>
      <c r="W149" s="246"/>
      <c r="X149" s="247"/>
      <c r="Y149" s="247"/>
    </row>
    <row r="150" spans="11:21" ht="12.75">
      <c r="K150" s="23"/>
      <c r="L150" s="23"/>
      <c r="M150" s="78"/>
      <c r="N150" s="79"/>
      <c r="O150" s="75"/>
      <c r="P150" s="75"/>
      <c r="Q150" s="75"/>
      <c r="R150" s="75"/>
      <c r="S150" s="75"/>
      <c r="T150" s="75"/>
      <c r="U150" s="28"/>
    </row>
    <row r="151" spans="11:21" ht="12.75">
      <c r="K151" s="23"/>
      <c r="L151" s="23"/>
      <c r="M151" s="78"/>
      <c r="N151" s="79"/>
      <c r="O151" s="75"/>
      <c r="P151" s="75"/>
      <c r="Q151" s="75"/>
      <c r="R151" s="75"/>
      <c r="S151" s="75"/>
      <c r="T151" s="75"/>
      <c r="U151" s="28"/>
    </row>
    <row r="152" spans="11:21" ht="12.75">
      <c r="K152" s="23"/>
      <c r="L152" s="23"/>
      <c r="M152" s="23"/>
      <c r="N152" s="26"/>
      <c r="P152" s="28"/>
      <c r="Q152" s="28"/>
      <c r="R152" s="28"/>
      <c r="T152" s="28"/>
      <c r="U152" s="28"/>
    </row>
    <row r="153" spans="11:21" ht="12.75">
      <c r="K153" s="23"/>
      <c r="L153" s="23"/>
      <c r="M153" s="23"/>
      <c r="N153" s="26"/>
      <c r="P153" s="28"/>
      <c r="Q153" s="28"/>
      <c r="R153" s="28"/>
      <c r="T153" s="28"/>
      <c r="U153" s="28"/>
    </row>
    <row r="154" spans="11:21" ht="12.75">
      <c r="K154" s="23"/>
      <c r="L154" s="23"/>
      <c r="M154" s="23"/>
      <c r="N154" s="26"/>
      <c r="P154" s="28"/>
      <c r="Q154" s="28"/>
      <c r="R154" s="28"/>
      <c r="T154" s="28"/>
      <c r="U154" s="28"/>
    </row>
    <row r="155" spans="11:21" ht="12.75">
      <c r="K155" s="23"/>
      <c r="L155" s="23"/>
      <c r="M155" s="23"/>
      <c r="N155" s="26"/>
      <c r="P155" s="28"/>
      <c r="Q155" s="28"/>
      <c r="R155" s="28"/>
      <c r="T155" s="28"/>
      <c r="U155" s="28"/>
    </row>
    <row r="156" spans="11:21" ht="12.75">
      <c r="K156" s="23"/>
      <c r="L156" s="23"/>
      <c r="M156" s="23"/>
      <c r="N156" s="26"/>
      <c r="P156" s="28"/>
      <c r="Q156" s="28"/>
      <c r="R156" s="28"/>
      <c r="T156" s="28"/>
      <c r="U156" s="28"/>
    </row>
    <row r="157" spans="11:21" ht="12.75">
      <c r="K157" s="23"/>
      <c r="L157" s="23"/>
      <c r="M157" s="23"/>
      <c r="N157" s="26"/>
      <c r="P157" s="28"/>
      <c r="Q157" s="28"/>
      <c r="R157" s="28"/>
      <c r="T157" s="28"/>
      <c r="U157" s="28"/>
    </row>
    <row r="158" spans="11:21" ht="12.75">
      <c r="K158" s="23"/>
      <c r="L158" s="23"/>
      <c r="M158" s="23"/>
      <c r="N158" s="26"/>
      <c r="P158" s="28"/>
      <c r="Q158" s="28"/>
      <c r="R158" s="28"/>
      <c r="T158" s="28"/>
      <c r="U158" s="28"/>
    </row>
    <row r="159" spans="11:14" ht="12.75">
      <c r="K159" s="23"/>
      <c r="L159" s="23"/>
      <c r="M159" s="23"/>
      <c r="N159" s="26"/>
    </row>
    <row r="160" spans="11:14" ht="12.75">
      <c r="K160" s="23"/>
      <c r="L160" s="23"/>
      <c r="M160" s="23"/>
      <c r="N160" s="26"/>
    </row>
    <row r="161" spans="11:14" ht="12.75">
      <c r="K161" s="23"/>
      <c r="L161" s="23"/>
      <c r="M161" s="23"/>
      <c r="N161" s="26"/>
    </row>
    <row r="162" spans="11:14" ht="12.75">
      <c r="K162" s="23"/>
      <c r="L162" s="23"/>
      <c r="M162" s="23"/>
      <c r="N162" s="26"/>
    </row>
    <row r="163" spans="11:14" ht="12.75">
      <c r="K163" s="23"/>
      <c r="L163" s="23"/>
      <c r="M163" s="23"/>
      <c r="N163" s="26"/>
    </row>
    <row r="164" spans="11:14" ht="12.75">
      <c r="K164" s="23"/>
      <c r="L164" s="23"/>
      <c r="M164" s="23"/>
      <c r="N164" s="26"/>
    </row>
    <row r="165" spans="11:14" ht="12.75">
      <c r="K165" s="23"/>
      <c r="L165" s="23"/>
      <c r="M165" s="23"/>
      <c r="N165" s="26"/>
    </row>
    <row r="166" spans="11:14" ht="12.75">
      <c r="K166" s="23"/>
      <c r="L166" s="23"/>
      <c r="M166" s="23"/>
      <c r="N166" s="26"/>
    </row>
    <row r="167" spans="11:14" ht="12.75">
      <c r="K167" s="23"/>
      <c r="L167" s="23"/>
      <c r="M167" s="23"/>
      <c r="N167" s="26"/>
    </row>
    <row r="168" spans="11:14" ht="12.75">
      <c r="K168" s="23"/>
      <c r="L168" s="23"/>
      <c r="M168" s="23"/>
      <c r="N168" s="26"/>
    </row>
    <row r="169" spans="11:14" ht="12.75">
      <c r="K169" s="23"/>
      <c r="L169" s="23"/>
      <c r="M169" s="23"/>
      <c r="N169" s="26"/>
    </row>
    <row r="170" spans="11:14" ht="12.75">
      <c r="K170" s="23"/>
      <c r="L170" s="23"/>
      <c r="M170" s="23"/>
      <c r="N170" s="26"/>
    </row>
    <row r="171" spans="11:14" ht="12.75">
      <c r="K171" s="23"/>
      <c r="L171" s="23"/>
      <c r="M171" s="23"/>
      <c r="N171" s="26"/>
    </row>
    <row r="172" spans="11:14" ht="12.75">
      <c r="K172" s="23"/>
      <c r="L172" s="23"/>
      <c r="M172" s="23"/>
      <c r="N172" s="26"/>
    </row>
    <row r="173" spans="11:14" ht="12.75">
      <c r="K173" s="23"/>
      <c r="L173" s="23"/>
      <c r="M173" s="23"/>
      <c r="N173" s="26"/>
    </row>
    <row r="174" spans="11:14" ht="12.75">
      <c r="K174" s="23"/>
      <c r="L174" s="23"/>
      <c r="M174" s="23"/>
      <c r="N174" s="26"/>
    </row>
    <row r="175" spans="11:14" ht="12.75">
      <c r="K175" s="23"/>
      <c r="L175" s="23"/>
      <c r="M175" s="23"/>
      <c r="N175" s="26"/>
    </row>
    <row r="176" spans="11:14" ht="12.75">
      <c r="K176" s="23"/>
      <c r="L176" s="23"/>
      <c r="M176" s="23"/>
      <c r="N176" s="26"/>
    </row>
    <row r="177" spans="11:14" ht="12.75">
      <c r="K177" s="23"/>
      <c r="L177" s="23"/>
      <c r="M177" s="23"/>
      <c r="N177" s="26"/>
    </row>
    <row r="178" spans="11:14" ht="12.75">
      <c r="K178" s="23"/>
      <c r="L178" s="23"/>
      <c r="M178" s="23"/>
      <c r="N178" s="26"/>
    </row>
    <row r="179" spans="11:14" ht="12.75">
      <c r="K179" s="23"/>
      <c r="L179" s="23"/>
      <c r="M179" s="23"/>
      <c r="N179" s="26"/>
    </row>
    <row r="180" spans="11:14" ht="12.75">
      <c r="K180" s="23"/>
      <c r="L180" s="23"/>
      <c r="M180" s="23"/>
      <c r="N180" s="26"/>
    </row>
    <row r="181" spans="11:14" ht="12.75">
      <c r="K181" s="23"/>
      <c r="L181" s="23"/>
      <c r="M181" s="23"/>
      <c r="N181" s="26"/>
    </row>
    <row r="182" spans="11:14" ht="12.75">
      <c r="K182" s="23"/>
      <c r="L182" s="23"/>
      <c r="M182" s="23"/>
      <c r="N182" s="26"/>
    </row>
    <row r="183" spans="11:14" ht="12.75">
      <c r="K183" s="23"/>
      <c r="L183" s="23"/>
      <c r="M183" s="23"/>
      <c r="N183" s="26"/>
    </row>
    <row r="184" spans="11:14" ht="12.75">
      <c r="K184" s="23"/>
      <c r="L184" s="23"/>
      <c r="M184" s="23"/>
      <c r="N184" s="26"/>
    </row>
    <row r="185" spans="11:21" ht="12.75">
      <c r="K185" s="23"/>
      <c r="L185" s="23"/>
      <c r="M185" s="23"/>
      <c r="N185" s="79"/>
      <c r="O185" s="75"/>
      <c r="P185" s="75"/>
      <c r="Q185" s="75"/>
      <c r="R185" s="75"/>
      <c r="S185" s="75"/>
      <c r="T185" s="75"/>
      <c r="U185" s="75"/>
    </row>
    <row r="186" spans="11:21" ht="12.75">
      <c r="K186" s="23"/>
      <c r="L186" s="23"/>
      <c r="M186" s="23"/>
      <c r="N186" s="79"/>
      <c r="O186" s="75"/>
      <c r="P186" s="75"/>
      <c r="Q186" s="75"/>
      <c r="R186" s="75"/>
      <c r="S186" s="75"/>
      <c r="T186" s="75"/>
      <c r="U186" s="75"/>
    </row>
    <row r="187" spans="11:21" ht="12.75">
      <c r="K187" s="23"/>
      <c r="L187" s="23"/>
      <c r="M187" s="23"/>
      <c r="N187" s="79"/>
      <c r="O187" s="75"/>
      <c r="P187" s="75"/>
      <c r="Q187" s="75"/>
      <c r="R187" s="75"/>
      <c r="S187" s="75"/>
      <c r="T187" s="75"/>
      <c r="U187" s="75"/>
    </row>
    <row r="188" spans="11:21" ht="12.75">
      <c r="K188" s="23"/>
      <c r="L188" s="23"/>
      <c r="M188" s="23"/>
      <c r="N188" s="79"/>
      <c r="O188" s="75"/>
      <c r="P188" s="75"/>
      <c r="Q188" s="75"/>
      <c r="R188" s="75"/>
      <c r="S188" s="75"/>
      <c r="T188" s="75"/>
      <c r="U188" s="75"/>
    </row>
    <row r="189" spans="11:22" ht="12.75">
      <c r="K189" s="23"/>
      <c r="L189" s="23"/>
      <c r="M189" s="23"/>
      <c r="N189" s="79"/>
      <c r="O189" s="75"/>
      <c r="P189" s="75"/>
      <c r="Q189" s="75"/>
      <c r="R189" s="75"/>
      <c r="S189" s="75"/>
      <c r="T189" s="75"/>
      <c r="U189" s="75"/>
      <c r="V189" s="80"/>
    </row>
    <row r="190" spans="11:22" ht="12.75">
      <c r="K190" s="23"/>
      <c r="L190" s="23"/>
      <c r="M190" s="23"/>
      <c r="N190" s="79"/>
      <c r="O190" s="75"/>
      <c r="P190" s="75"/>
      <c r="Q190" s="75"/>
      <c r="R190" s="75"/>
      <c r="S190" s="75"/>
      <c r="T190" s="75"/>
      <c r="U190" s="75"/>
      <c r="V190" s="80"/>
    </row>
    <row r="191" spans="11:21" ht="12.75">
      <c r="K191" s="23"/>
      <c r="L191" s="23"/>
      <c r="M191" s="23"/>
      <c r="N191" s="26"/>
      <c r="O191" s="75"/>
      <c r="P191" s="75"/>
      <c r="Q191" s="75"/>
      <c r="R191" s="75"/>
      <c r="S191" s="75"/>
      <c r="T191" s="75"/>
      <c r="U191" s="75"/>
    </row>
    <row r="192" spans="11:21" ht="12.75">
      <c r="K192" s="23"/>
      <c r="L192" s="23"/>
      <c r="M192" s="23"/>
      <c r="N192" s="26"/>
      <c r="O192" s="75"/>
      <c r="P192" s="75"/>
      <c r="Q192" s="75"/>
      <c r="R192" s="75"/>
      <c r="S192" s="75"/>
      <c r="T192" s="75"/>
      <c r="U192" s="75"/>
    </row>
    <row r="193" spans="11:21" ht="12.75">
      <c r="K193" s="23"/>
      <c r="L193" s="23"/>
      <c r="M193" s="23"/>
      <c r="N193" s="26"/>
      <c r="O193" s="75"/>
      <c r="P193" s="75"/>
      <c r="Q193" s="75"/>
      <c r="R193" s="75"/>
      <c r="S193" s="75"/>
      <c r="T193" s="75"/>
      <c r="U193" s="75"/>
    </row>
    <row r="194" spans="11:21" ht="12.75">
      <c r="K194" s="23"/>
      <c r="L194" s="23"/>
      <c r="M194" s="23"/>
      <c r="N194" s="26"/>
      <c r="O194" s="75"/>
      <c r="P194" s="75"/>
      <c r="Q194" s="75"/>
      <c r="R194" s="75"/>
      <c r="S194" s="75"/>
      <c r="T194" s="75"/>
      <c r="U194" s="75"/>
    </row>
    <row r="195" spans="11:21" ht="12.75">
      <c r="K195" s="23"/>
      <c r="L195" s="23"/>
      <c r="M195" s="23"/>
      <c r="N195" s="26"/>
      <c r="O195" s="75"/>
      <c r="P195" s="75"/>
      <c r="Q195" s="75"/>
      <c r="R195" s="75"/>
      <c r="S195" s="75"/>
      <c r="T195" s="75"/>
      <c r="U195" s="75"/>
    </row>
    <row r="196" spans="11:21" ht="12.75">
      <c r="K196" s="23"/>
      <c r="L196" s="23"/>
      <c r="M196" s="23"/>
      <c r="N196" s="26"/>
      <c r="O196" s="75"/>
      <c r="P196" s="75"/>
      <c r="Q196" s="75"/>
      <c r="R196" s="75"/>
      <c r="S196" s="75"/>
      <c r="T196" s="75"/>
      <c r="U196" s="75"/>
    </row>
    <row r="197" spans="11:21" ht="12.75">
      <c r="K197" s="23"/>
      <c r="L197" s="23"/>
      <c r="M197" s="23"/>
      <c r="N197" s="26"/>
      <c r="O197" s="75"/>
      <c r="P197" s="75"/>
      <c r="Q197" s="75"/>
      <c r="R197" s="75"/>
      <c r="S197" s="75"/>
      <c r="T197" s="75"/>
      <c r="U197" s="75"/>
    </row>
    <row r="198" spans="11:21" ht="12.75">
      <c r="K198" s="23"/>
      <c r="L198" s="23"/>
      <c r="M198" s="23"/>
      <c r="N198" s="26"/>
      <c r="O198" s="75"/>
      <c r="P198" s="75"/>
      <c r="Q198" s="75"/>
      <c r="R198" s="75"/>
      <c r="S198" s="75"/>
      <c r="T198" s="75"/>
      <c r="U198" s="75"/>
    </row>
    <row r="199" spans="11:14" ht="12.75">
      <c r="K199" s="23"/>
      <c r="L199" s="23"/>
      <c r="M199" s="23"/>
      <c r="N199" s="26"/>
    </row>
    <row r="200" spans="11:14" ht="12.75">
      <c r="K200" s="23"/>
      <c r="L200" s="23"/>
      <c r="M200" s="23"/>
      <c r="N200" s="26"/>
    </row>
    <row r="201" spans="11:14" ht="12.75">
      <c r="K201" s="23"/>
      <c r="L201" s="23"/>
      <c r="M201" s="23"/>
      <c r="N201" s="26"/>
    </row>
    <row r="202" spans="11:14" ht="12.75">
      <c r="K202" s="23"/>
      <c r="L202" s="23"/>
      <c r="M202" s="23"/>
      <c r="N202" s="26"/>
    </row>
    <row r="203" spans="11:14" ht="12.75">
      <c r="K203" s="23"/>
      <c r="L203" s="23"/>
      <c r="M203" s="23"/>
      <c r="N203" s="26"/>
    </row>
    <row r="204" spans="11:14" ht="12.75">
      <c r="K204" s="23"/>
      <c r="L204" s="23"/>
      <c r="M204" s="23"/>
      <c r="N204" s="26"/>
    </row>
    <row r="205" spans="11:14" ht="12.75">
      <c r="K205" s="23"/>
      <c r="L205" s="23"/>
      <c r="M205" s="23"/>
      <c r="N205" s="26"/>
    </row>
    <row r="206" spans="11:14" ht="12.75">
      <c r="K206" s="23"/>
      <c r="L206" s="23"/>
      <c r="M206" s="23"/>
      <c r="N206" s="26"/>
    </row>
    <row r="207" spans="11:14" ht="12.75">
      <c r="K207" s="23"/>
      <c r="L207" s="23"/>
      <c r="M207" s="23"/>
      <c r="N207" s="26"/>
    </row>
    <row r="208" spans="11:14" ht="12.75">
      <c r="K208" s="23"/>
      <c r="L208" s="23"/>
      <c r="M208" s="23"/>
      <c r="N208" s="26"/>
    </row>
    <row r="209" spans="11:14" ht="12.75">
      <c r="K209" s="23"/>
      <c r="L209" s="23"/>
      <c r="M209" s="23"/>
      <c r="N209" s="26"/>
    </row>
    <row r="210" spans="11:14" ht="12.75">
      <c r="K210" s="23"/>
      <c r="L210" s="23"/>
      <c r="M210" s="23"/>
      <c r="N210" s="26"/>
    </row>
    <row r="211" spans="11:14" ht="12.75">
      <c r="K211" s="23"/>
      <c r="L211" s="23"/>
      <c r="M211" s="23"/>
      <c r="N211" s="26"/>
    </row>
    <row r="212" spans="11:14" ht="12.75">
      <c r="K212" s="23"/>
      <c r="L212" s="23"/>
      <c r="M212" s="23"/>
      <c r="N212" s="26"/>
    </row>
    <row r="213" spans="11:14" ht="12.75">
      <c r="K213" s="23"/>
      <c r="L213" s="23"/>
      <c r="M213" s="23"/>
      <c r="N213" s="26"/>
    </row>
    <row r="214" spans="11:14" ht="12.75">
      <c r="K214" s="23"/>
      <c r="L214" s="23"/>
      <c r="M214" s="23"/>
      <c r="N214" s="26"/>
    </row>
    <row r="215" spans="11:14" ht="12.75">
      <c r="K215" s="23"/>
      <c r="L215" s="23"/>
      <c r="M215" s="23"/>
      <c r="N215" s="26"/>
    </row>
    <row r="216" spans="11:14" ht="12.75">
      <c r="K216" s="23"/>
      <c r="L216" s="23"/>
      <c r="M216" s="23"/>
      <c r="N216" s="26"/>
    </row>
    <row r="217" spans="11:14" ht="12.75">
      <c r="K217" s="23"/>
      <c r="L217" s="23"/>
      <c r="M217" s="23"/>
      <c r="N217" s="26"/>
    </row>
    <row r="218" spans="11:14" ht="12.75">
      <c r="K218" s="23"/>
      <c r="L218" s="23"/>
      <c r="M218" s="23"/>
      <c r="N218" s="26"/>
    </row>
    <row r="219" spans="11:14" ht="12.75">
      <c r="K219" s="23"/>
      <c r="L219" s="23"/>
      <c r="M219" s="23"/>
      <c r="N219" s="26"/>
    </row>
    <row r="220" spans="11:14" ht="12.75">
      <c r="K220" s="23"/>
      <c r="L220" s="23"/>
      <c r="M220" s="23"/>
      <c r="N220" s="26"/>
    </row>
    <row r="221" spans="11:14" ht="12.75">
      <c r="K221" s="23"/>
      <c r="L221" s="23"/>
      <c r="M221" s="23"/>
      <c r="N221" s="26"/>
    </row>
    <row r="222" spans="11:14" ht="12.75">
      <c r="K222" s="23"/>
      <c r="L222" s="23"/>
      <c r="M222" s="23"/>
      <c r="N222" s="26"/>
    </row>
    <row r="223" spans="11:14" ht="12.75">
      <c r="K223" s="23"/>
      <c r="L223" s="23"/>
      <c r="M223" s="23"/>
      <c r="N223" s="26"/>
    </row>
    <row r="224" spans="11:14" ht="12.75">
      <c r="K224" s="23"/>
      <c r="L224" s="23"/>
      <c r="M224" s="23"/>
      <c r="N224" s="26"/>
    </row>
    <row r="225" spans="11:14" ht="12.75">
      <c r="K225" s="23"/>
      <c r="L225" s="23"/>
      <c r="M225" s="23"/>
      <c r="N225" s="26"/>
    </row>
    <row r="226" spans="11:14" ht="12.75">
      <c r="K226" s="23"/>
      <c r="L226" s="23"/>
      <c r="M226" s="23"/>
      <c r="N226" s="26"/>
    </row>
    <row r="227" spans="11:14" ht="12.75">
      <c r="K227" s="23"/>
      <c r="L227" s="23"/>
      <c r="M227" s="23"/>
      <c r="N227" s="26"/>
    </row>
    <row r="228" spans="11:14" ht="12.75">
      <c r="K228" s="23"/>
      <c r="L228" s="23"/>
      <c r="M228" s="23"/>
      <c r="N228" s="26"/>
    </row>
    <row r="229" spans="11:14" ht="12.75">
      <c r="K229" s="23"/>
      <c r="L229" s="23"/>
      <c r="M229" s="23"/>
      <c r="N229" s="26"/>
    </row>
    <row r="230" spans="11:14" ht="12.75">
      <c r="K230" s="23"/>
      <c r="L230" s="23"/>
      <c r="M230" s="23"/>
      <c r="N230" s="26"/>
    </row>
    <row r="231" spans="11:14" ht="12.75">
      <c r="K231" s="23"/>
      <c r="L231" s="23"/>
      <c r="M231" s="23"/>
      <c r="N231" s="26"/>
    </row>
    <row r="232" spans="11:14" ht="12.75">
      <c r="K232" s="23"/>
      <c r="L232" s="23"/>
      <c r="M232" s="23"/>
      <c r="N232" s="26"/>
    </row>
    <row r="233" spans="11:14" ht="12.75">
      <c r="K233" s="23"/>
      <c r="L233" s="23"/>
      <c r="M233" s="23"/>
      <c r="N233" s="26"/>
    </row>
    <row r="234" spans="11:14" ht="12.75">
      <c r="K234" s="23"/>
      <c r="L234" s="23"/>
      <c r="M234" s="23"/>
      <c r="N234" s="26"/>
    </row>
    <row r="235" spans="11:14" ht="12.75">
      <c r="K235" s="23"/>
      <c r="L235" s="23"/>
      <c r="M235" s="23"/>
      <c r="N235" s="26"/>
    </row>
    <row r="236" spans="11:14" ht="12.75">
      <c r="K236" s="23"/>
      <c r="L236" s="23"/>
      <c r="M236" s="23"/>
      <c r="N236" s="26"/>
    </row>
    <row r="237" spans="11:14" ht="12.75">
      <c r="K237" s="23"/>
      <c r="L237" s="23"/>
      <c r="M237" s="23"/>
      <c r="N237" s="26"/>
    </row>
    <row r="238" spans="11:14" ht="12.75">
      <c r="K238" s="23"/>
      <c r="L238" s="23"/>
      <c r="M238" s="23"/>
      <c r="N238" s="26"/>
    </row>
    <row r="239" spans="11:14" ht="12.75">
      <c r="K239" s="23"/>
      <c r="L239" s="23"/>
      <c r="M239" s="23"/>
      <c r="N239" s="26"/>
    </row>
    <row r="240" spans="11:14" ht="12.75">
      <c r="K240" s="23"/>
      <c r="L240" s="23"/>
      <c r="M240" s="23"/>
      <c r="N240" s="26"/>
    </row>
    <row r="241" spans="11:14" ht="12.75">
      <c r="K241" s="23"/>
      <c r="L241" s="23"/>
      <c r="M241" s="23"/>
      <c r="N241" s="26"/>
    </row>
    <row r="242" spans="11:14" ht="12.75">
      <c r="K242" s="23"/>
      <c r="L242" s="23"/>
      <c r="M242" s="23"/>
      <c r="N242" s="26"/>
    </row>
    <row r="243" spans="11:14" ht="12.75">
      <c r="K243" s="23"/>
      <c r="L243" s="23"/>
      <c r="M243" s="23"/>
      <c r="N243" s="26"/>
    </row>
    <row r="244" spans="11:14" ht="12.75">
      <c r="K244" s="23"/>
      <c r="L244" s="23"/>
      <c r="M244" s="23"/>
      <c r="N244" s="26"/>
    </row>
    <row r="245" spans="11:14" ht="12.75">
      <c r="K245" s="23"/>
      <c r="L245" s="23"/>
      <c r="M245" s="23"/>
      <c r="N245" s="26"/>
    </row>
    <row r="246" spans="11:14" ht="12.75">
      <c r="K246" s="23"/>
      <c r="L246" s="23"/>
      <c r="M246" s="23"/>
      <c r="N246" s="26"/>
    </row>
    <row r="247" spans="11:14" ht="12.75">
      <c r="K247" s="23"/>
      <c r="L247" s="23"/>
      <c r="M247" s="23"/>
      <c r="N247" s="26"/>
    </row>
    <row r="248" spans="11:14" ht="12.75">
      <c r="K248" s="23"/>
      <c r="L248" s="23"/>
      <c r="M248" s="23"/>
      <c r="N248" s="26"/>
    </row>
    <row r="249" spans="11:14" ht="12.75">
      <c r="K249" s="23"/>
      <c r="L249" s="23"/>
      <c r="M249" s="23"/>
      <c r="N249" s="26"/>
    </row>
    <row r="250" spans="11:14" ht="12.75">
      <c r="K250" s="23"/>
      <c r="L250" s="23"/>
      <c r="M250" s="23"/>
      <c r="N250" s="26"/>
    </row>
  </sheetData>
  <sheetProtection/>
  <mergeCells count="94">
    <mergeCell ref="S10:S11"/>
    <mergeCell ref="O10:O11"/>
    <mergeCell ref="W8:W10"/>
    <mergeCell ref="K12:L12"/>
    <mergeCell ref="K16:L16"/>
    <mergeCell ref="K18:L18"/>
    <mergeCell ref="O8:Q9"/>
    <mergeCell ref="R8:R11"/>
    <mergeCell ref="S8:U9"/>
    <mergeCell ref="V8:V10"/>
    <mergeCell ref="K8:L10"/>
    <mergeCell ref="K13:L13"/>
    <mergeCell ref="K14:L14"/>
    <mergeCell ref="K17:L17"/>
    <mergeCell ref="K15:L15"/>
    <mergeCell ref="Q2:R2"/>
    <mergeCell ref="K19:L19"/>
    <mergeCell ref="K20:L20"/>
    <mergeCell ref="K21:L21"/>
    <mergeCell ref="K22:L22"/>
    <mergeCell ref="K23:L23"/>
    <mergeCell ref="K24:L24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7:L47"/>
    <mergeCell ref="K52:L52"/>
    <mergeCell ref="K54:L54"/>
    <mergeCell ref="K57:L57"/>
    <mergeCell ref="K58:L58"/>
    <mergeCell ref="K53:L53"/>
    <mergeCell ref="K59:L59"/>
    <mergeCell ref="K60:L60"/>
    <mergeCell ref="K74:L74"/>
    <mergeCell ref="K61:L61"/>
    <mergeCell ref="K62:L62"/>
    <mergeCell ref="K64:L64"/>
    <mergeCell ref="K65:L65"/>
    <mergeCell ref="K66:L66"/>
    <mergeCell ref="K67:L67"/>
    <mergeCell ref="K75:L75"/>
    <mergeCell ref="K76:L76"/>
    <mergeCell ref="K79:L79"/>
    <mergeCell ref="K78:L78"/>
    <mergeCell ref="K68:L68"/>
    <mergeCell ref="K69:L69"/>
    <mergeCell ref="K70:L70"/>
    <mergeCell ref="K71:L71"/>
    <mergeCell ref="K72:L72"/>
    <mergeCell ref="K73:L73"/>
    <mergeCell ref="K81:L81"/>
    <mergeCell ref="K88:L88"/>
    <mergeCell ref="K89:L89"/>
    <mergeCell ref="K90:L90"/>
    <mergeCell ref="K80:L80"/>
    <mergeCell ref="K91:L91"/>
    <mergeCell ref="K92:L92"/>
    <mergeCell ref="K93:L93"/>
    <mergeCell ref="K94:L94"/>
    <mergeCell ref="K95:L95"/>
    <mergeCell ref="K96:L96"/>
    <mergeCell ref="K97:L97"/>
    <mergeCell ref="K98:L98"/>
    <mergeCell ref="K100:L100"/>
    <mergeCell ref="K101:L101"/>
    <mergeCell ref="K102:L102"/>
    <mergeCell ref="K104:L104"/>
    <mergeCell ref="K99:L99"/>
    <mergeCell ref="K105:L105"/>
    <mergeCell ref="K122:L122"/>
    <mergeCell ref="K108:L108"/>
    <mergeCell ref="K109:L109"/>
    <mergeCell ref="K111:L111"/>
    <mergeCell ref="K112:L112"/>
    <mergeCell ref="K113:L113"/>
    <mergeCell ref="K118:L118"/>
    <mergeCell ref="K121:L121"/>
    <mergeCell ref="K123:L123"/>
    <mergeCell ref="K126:L126"/>
    <mergeCell ref="K128:W128"/>
    <mergeCell ref="K132:L132"/>
    <mergeCell ref="K133:N133"/>
    <mergeCell ref="K114:L114"/>
    <mergeCell ref="K115:L115"/>
    <mergeCell ref="K116:L116"/>
    <mergeCell ref="K119:L119"/>
    <mergeCell ref="K120:L120"/>
  </mergeCells>
  <printOptions horizontalCentered="1"/>
  <pageMargins left="0.15748031496062992" right="0.15748031496062992" top="0.7874015748031497" bottom="0.2755905511811024" header="0.5118110236220472" footer="0.35433070866141736"/>
  <pageSetup fitToHeight="0" horizontalDpi="600" verticalDpi="600" orientation="landscape" paperSize="9" scale="60" r:id="rId2"/>
  <headerFooter scaleWithDoc="0">
    <oddFooter>&amp;L&amp;8Publicação: Diário Oficial do Município nº 58
Data: 24.03.2021&amp;R&amp;8&amp;P / &amp;N</oddFooter>
  </headerFooter>
  <rowBreaks count="3" manualBreakCount="3">
    <brk id="45" min="10" max="22" man="1"/>
    <brk id="78" min="10" max="22" man="1"/>
    <brk id="114" min="10" max="22" man="1"/>
  </rowBreaks>
  <ignoredErrors>
    <ignoredError sqref="N13 W17 W20 S17 T70 O62 T31 N46:O46 N88:O88 N90 W75 W70 W62 W57 W46 W35 W31 S46 S90 S88 W90 W88 W97 W102 W106 W108 W120 P17 Q12 O75 U126 N106 P10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X86"/>
  <sheetViews>
    <sheetView showGridLines="0" view="pageBreakPreview" zoomScaleSheetLayoutView="100" workbookViewId="0" topLeftCell="A1">
      <selection activeCell="P43" sqref="P43"/>
    </sheetView>
  </sheetViews>
  <sheetFormatPr defaultColWidth="9.140625" defaultRowHeight="15" customHeight="1"/>
  <cols>
    <col min="1" max="1" width="34.140625" style="278" customWidth="1"/>
    <col min="2" max="2" width="13.00390625" style="22" hidden="1" customWidth="1"/>
    <col min="3" max="3" width="2.57421875" style="21" hidden="1" customWidth="1"/>
    <col min="4" max="5" width="14.7109375" style="20" customWidth="1"/>
    <col min="6" max="6" width="15.00390625" style="20" customWidth="1"/>
    <col min="7" max="15" width="14.7109375" style="20" customWidth="1"/>
    <col min="16" max="16" width="16.28125" style="62" customWidth="1"/>
    <col min="17" max="17" width="19.7109375" style="22" customWidth="1"/>
    <col min="18" max="18" width="18.8515625" style="21" customWidth="1"/>
    <col min="19" max="20" width="14.57421875" style="21" customWidth="1"/>
    <col min="21" max="21" width="13.57421875" style="21" bestFit="1" customWidth="1"/>
    <col min="22" max="23" width="11.140625" style="21" bestFit="1" customWidth="1"/>
    <col min="24" max="16384" width="9.140625" style="21" customWidth="1"/>
  </cols>
  <sheetData>
    <row r="1" spans="1:21" ht="15" customHeight="1">
      <c r="A1" s="230" t="s">
        <v>281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0"/>
      <c r="S1" s="20"/>
      <c r="T1" s="20"/>
      <c r="U1" s="20"/>
    </row>
    <row r="2" spans="1:21" ht="15" customHeight="1">
      <c r="A2" s="230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0"/>
      <c r="S2" s="20"/>
      <c r="T2" s="20"/>
      <c r="U2" s="20"/>
    </row>
    <row r="3" spans="1:21" ht="15" customHeight="1">
      <c r="A3" s="231" t="s">
        <v>134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20"/>
      <c r="S3" s="20"/>
      <c r="T3" s="20"/>
      <c r="U3" s="20"/>
    </row>
    <row r="4" spans="1:21" ht="15" customHeight="1">
      <c r="A4" s="233" t="s">
        <v>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55"/>
      <c r="S4" s="20"/>
      <c r="T4" s="20"/>
      <c r="U4" s="20"/>
    </row>
    <row r="5" spans="1:21" s="1" customFormat="1" ht="15.75" customHeight="1">
      <c r="A5" s="233" t="str">
        <f>'Anexo 1 _ BAL ORC'!A5:F5</f>
        <v>            Referência: JANEIRO-FEVEREIRO/2021; BIMESTRE: JANEIRO-FEVEREIRO/2021</v>
      </c>
      <c r="B5" s="227"/>
      <c r="C5" s="227"/>
      <c r="D5" s="279"/>
      <c r="E5" s="279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1"/>
      <c r="R5" s="13"/>
      <c r="S5" s="13"/>
      <c r="T5" s="13"/>
      <c r="U5" s="12"/>
    </row>
    <row r="6" spans="1:21" ht="15" customHeight="1">
      <c r="A6" s="230"/>
      <c r="B6" s="225"/>
      <c r="C6" s="225"/>
      <c r="D6" s="282"/>
      <c r="E6" s="282"/>
      <c r="F6" s="284"/>
      <c r="G6" s="283"/>
      <c r="H6" s="283"/>
      <c r="I6" s="283"/>
      <c r="J6" s="283"/>
      <c r="K6" s="283"/>
      <c r="L6" s="283"/>
      <c r="M6" s="283"/>
      <c r="N6" s="283"/>
      <c r="O6" s="283"/>
      <c r="P6" s="282"/>
      <c r="Q6" s="285"/>
      <c r="R6" s="29"/>
      <c r="S6" s="29"/>
      <c r="T6" s="29"/>
      <c r="U6" s="20"/>
    </row>
    <row r="7" spans="1:21" ht="15" customHeight="1">
      <c r="A7" s="286" t="s">
        <v>289</v>
      </c>
      <c r="B7" s="287"/>
      <c r="C7" s="160"/>
      <c r="D7" s="283"/>
      <c r="E7" s="283"/>
      <c r="F7" s="283"/>
      <c r="G7" s="342"/>
      <c r="H7" s="283"/>
      <c r="I7" s="283"/>
      <c r="J7" s="283"/>
      <c r="K7" s="283"/>
      <c r="L7" s="283"/>
      <c r="M7" s="283"/>
      <c r="N7" s="283"/>
      <c r="O7" s="283"/>
      <c r="P7" s="978"/>
      <c r="Q7" s="276"/>
      <c r="R7" s="65"/>
      <c r="S7" s="29"/>
      <c r="T7" s="29"/>
      <c r="U7" s="20"/>
    </row>
    <row r="8" spans="1:18" s="61" customFormat="1" ht="15" customHeight="1">
      <c r="A8" s="1492" t="s">
        <v>135</v>
      </c>
      <c r="B8" s="1498"/>
      <c r="C8" s="1499"/>
      <c r="D8" s="1500"/>
      <c r="E8" s="1500"/>
      <c r="F8" s="1500"/>
      <c r="G8" s="1500"/>
      <c r="H8" s="1500"/>
      <c r="I8" s="1500"/>
      <c r="J8" s="1500"/>
      <c r="K8" s="1500"/>
      <c r="L8" s="1500"/>
      <c r="M8" s="1501"/>
      <c r="N8" s="969"/>
      <c r="O8" s="969"/>
      <c r="P8" s="1494" t="s">
        <v>318</v>
      </c>
      <c r="Q8" s="1496" t="s">
        <v>541</v>
      </c>
      <c r="R8" s="288"/>
    </row>
    <row r="9" spans="1:18" s="61" customFormat="1" ht="15" customHeight="1">
      <c r="A9" s="1493"/>
      <c r="B9" s="289" t="s">
        <v>136</v>
      </c>
      <c r="C9" s="289" t="s">
        <v>137</v>
      </c>
      <c r="D9" s="741" t="s">
        <v>744</v>
      </c>
      <c r="E9" s="741" t="s">
        <v>743</v>
      </c>
      <c r="F9" s="741" t="s">
        <v>745</v>
      </c>
      <c r="G9" s="741" t="s">
        <v>746</v>
      </c>
      <c r="H9" s="741" t="s">
        <v>747</v>
      </c>
      <c r="I9" s="741" t="s">
        <v>748</v>
      </c>
      <c r="J9" s="742" t="s">
        <v>749</v>
      </c>
      <c r="K9" s="742" t="s">
        <v>750</v>
      </c>
      <c r="L9" s="742" t="s">
        <v>751</v>
      </c>
      <c r="M9" s="742" t="s">
        <v>752</v>
      </c>
      <c r="N9" s="741" t="s">
        <v>539</v>
      </c>
      <c r="O9" s="741" t="s">
        <v>540</v>
      </c>
      <c r="P9" s="1495"/>
      <c r="Q9" s="1497"/>
      <c r="R9" s="290"/>
    </row>
    <row r="10" spans="1:21" s="308" customFormat="1" ht="19.5" customHeight="1">
      <c r="A10" s="872" t="s">
        <v>138</v>
      </c>
      <c r="B10" s="301">
        <f>B11+B17+B18+B21+B22+B31</f>
        <v>127873694.01</v>
      </c>
      <c r="C10" s="301">
        <f>C11+C17+C18+C21+C22+C31</f>
        <v>130000401.16999999</v>
      </c>
      <c r="D10" s="303">
        <f>D11+D17+D18+D21+D22+D31</f>
        <v>252408630.85000002</v>
      </c>
      <c r="E10" s="302">
        <f>E11+E17+E18+E21+E22+E31</f>
        <v>245069747.98000002</v>
      </c>
      <c r="F10" s="302">
        <f aca="true" t="shared" si="0" ref="F10:K10">F11+F17+F18+F21+F22+F31</f>
        <v>227081984.92</v>
      </c>
      <c r="G10" s="302">
        <f t="shared" si="0"/>
        <v>270678544.52000004</v>
      </c>
      <c r="H10" s="302">
        <f t="shared" si="0"/>
        <v>377225935.34999996</v>
      </c>
      <c r="I10" s="302">
        <f t="shared" si="0"/>
        <v>380592167.94000006</v>
      </c>
      <c r="J10" s="302">
        <f t="shared" si="0"/>
        <v>293098298.47999996</v>
      </c>
      <c r="K10" s="302">
        <f t="shared" si="0"/>
        <v>303257848.83000004</v>
      </c>
      <c r="L10" s="728">
        <f aca="true" t="shared" si="1" ref="L10:Q10">L11+L17+L18+L21+L22+L31</f>
        <v>293352572.71</v>
      </c>
      <c r="M10" s="728">
        <f t="shared" si="1"/>
        <v>378732173.75</v>
      </c>
      <c r="N10" s="303">
        <f t="shared" si="1"/>
        <v>303583347.55999994</v>
      </c>
      <c r="O10" s="302">
        <f t="shared" si="1"/>
        <v>314533027.71999997</v>
      </c>
      <c r="P10" s="729">
        <f t="shared" si="1"/>
        <v>3639614280.6100006</v>
      </c>
      <c r="Q10" s="868">
        <f t="shared" si="1"/>
        <v>3497772417.14</v>
      </c>
      <c r="R10" s="304"/>
      <c r="S10" s="305"/>
      <c r="T10" s="306"/>
      <c r="U10" s="307"/>
    </row>
    <row r="11" spans="1:30" s="308" customFormat="1" ht="19.5" customHeight="1">
      <c r="A11" s="873" t="s">
        <v>442</v>
      </c>
      <c r="B11" s="309">
        <f>B12+B13+B14+B16+B15</f>
        <v>34116237.169999994</v>
      </c>
      <c r="C11" s="309">
        <f>C12+C13+C14+C16+C15</f>
        <v>26251771.72</v>
      </c>
      <c r="D11" s="311">
        <f>D12+D13+D14+D15+D16</f>
        <v>58111218.81000001</v>
      </c>
      <c r="E11" s="310">
        <f>E12+E13+E14+E15+E16</f>
        <v>47508513.18</v>
      </c>
      <c r="F11" s="310">
        <f aca="true" t="shared" si="2" ref="F11:M11">F12+F13+F14+F15+F16</f>
        <v>49909502.54</v>
      </c>
      <c r="G11" s="310">
        <f t="shared" si="2"/>
        <v>60042841.05</v>
      </c>
      <c r="H11" s="310">
        <f t="shared" si="2"/>
        <v>109706365.11</v>
      </c>
      <c r="I11" s="310">
        <f t="shared" si="2"/>
        <v>70354428.84</v>
      </c>
      <c r="J11" s="310">
        <f t="shared" si="2"/>
        <v>84061558.20999998</v>
      </c>
      <c r="K11" s="310">
        <f t="shared" si="2"/>
        <v>82084797.77</v>
      </c>
      <c r="L11" s="310">
        <f t="shared" si="2"/>
        <v>79868696.7</v>
      </c>
      <c r="M11" s="310">
        <f t="shared" si="2"/>
        <v>99632884.73999998</v>
      </c>
      <c r="N11" s="311">
        <f>N12+N13+N14+N15+N16</f>
        <v>59960865.05</v>
      </c>
      <c r="O11" s="310">
        <f>O12+O13+O14+O15+O16</f>
        <v>70880395.12</v>
      </c>
      <c r="P11" s="310">
        <f>P12+P13+P14+P15+P16</f>
        <v>872122067.12</v>
      </c>
      <c r="Q11" s="311">
        <f>Q12+Q13+Q14+Q15+Q16</f>
        <v>853440801</v>
      </c>
      <c r="R11" s="312"/>
      <c r="S11" s="313"/>
      <c r="T11" s="314"/>
      <c r="U11" s="315"/>
      <c r="V11" s="17"/>
      <c r="W11" s="17"/>
      <c r="X11" s="17"/>
      <c r="Y11" s="17"/>
      <c r="Z11" s="17"/>
      <c r="AA11" s="17"/>
      <c r="AB11" s="17"/>
      <c r="AC11" s="17"/>
      <c r="AD11" s="17"/>
    </row>
    <row r="12" spans="1:21" s="320" customFormat="1" ht="19.5" customHeight="1">
      <c r="A12" s="895" t="s">
        <v>453</v>
      </c>
      <c r="B12" s="316">
        <v>10930798.32</v>
      </c>
      <c r="C12" s="316">
        <v>2532213.38</v>
      </c>
      <c r="D12" s="1219">
        <f>3460454.49</f>
        <v>3460454.49</v>
      </c>
      <c r="E12" s="1219">
        <f>1562698.43</f>
        <v>1562698.43</v>
      </c>
      <c r="F12" s="1219">
        <v>1714148.93</v>
      </c>
      <c r="G12" s="1219">
        <v>7533445.25</v>
      </c>
      <c r="H12" s="1219">
        <f>51775535.98</f>
        <v>51775535.98</v>
      </c>
      <c r="I12" s="1219">
        <f>12757863.06-671.02</f>
        <v>12757192.040000001</v>
      </c>
      <c r="J12" s="1219">
        <f>13087961.56</f>
        <v>13087961.56</v>
      </c>
      <c r="K12" s="1219">
        <f>9694292.45-779.2</f>
        <v>9693513.25</v>
      </c>
      <c r="L12" s="1219">
        <f>8134711.51-2230.29</f>
        <v>8132481.22</v>
      </c>
      <c r="M12" s="1219">
        <f>13819854.77-13473.88</f>
        <v>13806380.889999999</v>
      </c>
      <c r="N12" s="1219">
        <f>3079459.72-326.85</f>
        <v>3079132.87</v>
      </c>
      <c r="O12" s="1219">
        <f>3700112.68</f>
        <v>3700112.68</v>
      </c>
      <c r="P12" s="318">
        <f aca="true" t="shared" si="3" ref="P12:P17">SUM(D12:O12)</f>
        <v>130303057.59000002</v>
      </c>
      <c r="Q12" s="333">
        <v>145123959.01</v>
      </c>
      <c r="R12" s="306"/>
      <c r="S12" s="306"/>
      <c r="T12" s="306"/>
      <c r="U12" s="319"/>
    </row>
    <row r="13" spans="1:23" s="320" customFormat="1" ht="19.5" customHeight="1">
      <c r="A13" s="895" t="s">
        <v>454</v>
      </c>
      <c r="B13" s="316">
        <v>19872263.16</v>
      </c>
      <c r="C13" s="316">
        <v>20590409.12</v>
      </c>
      <c r="D13" s="1219">
        <f>46488442.56</f>
        <v>46488442.56</v>
      </c>
      <c r="E13" s="1219">
        <v>40815210.07</v>
      </c>
      <c r="F13" s="1219">
        <v>41223820.06</v>
      </c>
      <c r="G13" s="1219">
        <f>41168834.28-8509.31</f>
        <v>41160324.97</v>
      </c>
      <c r="H13" s="1219">
        <v>48709742.48</v>
      </c>
      <c r="I13" s="1219">
        <f>50982117.77</f>
        <v>50982117.77</v>
      </c>
      <c r="J13" s="1219">
        <f>54018574.67-71.5</f>
        <v>54018503.17</v>
      </c>
      <c r="K13" s="1219">
        <f>55457483.65-438.39</f>
        <v>55457045.26</v>
      </c>
      <c r="L13" s="1219">
        <f>55967012.34-617.5</f>
        <v>55966394.84</v>
      </c>
      <c r="M13" s="1219">
        <v>63713343.19</v>
      </c>
      <c r="N13" s="1219">
        <v>48423598.28</v>
      </c>
      <c r="O13" s="1219">
        <f>44961786.05-1016.31</f>
        <v>44960769.739999995</v>
      </c>
      <c r="P13" s="726">
        <f t="shared" si="3"/>
        <v>591919312.39</v>
      </c>
      <c r="Q13" s="333">
        <v>558589872</v>
      </c>
      <c r="R13" s="306"/>
      <c r="S13" s="306"/>
      <c r="T13" s="306"/>
      <c r="U13" s="319"/>
      <c r="V13" s="321"/>
      <c r="W13" s="322"/>
    </row>
    <row r="14" spans="1:22" s="320" customFormat="1" ht="19.5" customHeight="1">
      <c r="A14" s="895" t="s">
        <v>455</v>
      </c>
      <c r="B14" s="316">
        <v>665932.47</v>
      </c>
      <c r="C14" s="316">
        <v>865344.59</v>
      </c>
      <c r="D14" s="1219">
        <f>1625906.35-2621.72</f>
        <v>1623284.6300000001</v>
      </c>
      <c r="E14" s="1219">
        <v>1243521.26</v>
      </c>
      <c r="F14" s="1219">
        <v>940030.82</v>
      </c>
      <c r="G14" s="1219">
        <f>1781348.48-6045.46</f>
        <v>1775303.02</v>
      </c>
      <c r="H14" s="1219">
        <v>3552110.87</v>
      </c>
      <c r="I14" s="1219">
        <v>2834972.19</v>
      </c>
      <c r="J14" s="1219">
        <v>3980690.96</v>
      </c>
      <c r="K14" s="1219">
        <f>3930155.48-1690</f>
        <v>3928465.48</v>
      </c>
      <c r="L14" s="1219">
        <f>3580359.11</f>
        <v>3580359.11</v>
      </c>
      <c r="M14" s="1219">
        <f>4750705.55</f>
        <v>4750705.55</v>
      </c>
      <c r="N14" s="1219">
        <v>2541669</v>
      </c>
      <c r="O14" s="1219">
        <v>2796728.89</v>
      </c>
      <c r="P14" s="726">
        <f t="shared" si="3"/>
        <v>33547841.78</v>
      </c>
      <c r="Q14" s="869">
        <v>29356119</v>
      </c>
      <c r="R14" s="306"/>
      <c r="S14" s="306"/>
      <c r="T14" s="306"/>
      <c r="U14" s="319"/>
      <c r="V14" s="321"/>
    </row>
    <row r="15" spans="1:22" s="320" customFormat="1" ht="19.5" customHeight="1">
      <c r="A15" s="895" t="s">
        <v>456</v>
      </c>
      <c r="B15" s="316">
        <v>1742328.89</v>
      </c>
      <c r="C15" s="316">
        <v>1555745.25</v>
      </c>
      <c r="D15" s="1219">
        <v>3424068.79</v>
      </c>
      <c r="E15" s="1219">
        <v>3305105.61</v>
      </c>
      <c r="F15" s="1219">
        <v>5584723.53</v>
      </c>
      <c r="G15" s="1219">
        <v>8724445.64</v>
      </c>
      <c r="H15" s="1219">
        <v>4385004.53</v>
      </c>
      <c r="I15" s="1219">
        <f>2808423.41-449.64</f>
        <v>2807973.77</v>
      </c>
      <c r="J15" s="1219">
        <v>11458109.35</v>
      </c>
      <c r="K15" s="1219">
        <f>10331586.48</f>
        <v>10331586.48</v>
      </c>
      <c r="L15" s="1219">
        <v>10997376.79</v>
      </c>
      <c r="M15" s="1219">
        <v>15012059.29</v>
      </c>
      <c r="N15" s="1219">
        <v>3666390.29</v>
      </c>
      <c r="O15" s="1219">
        <v>14999252.92</v>
      </c>
      <c r="P15" s="726">
        <f t="shared" si="3"/>
        <v>94696096.99000001</v>
      </c>
      <c r="Q15" s="869">
        <v>96272994</v>
      </c>
      <c r="R15" s="306"/>
      <c r="S15" s="306"/>
      <c r="T15" s="306"/>
      <c r="U15" s="319"/>
      <c r="V15" s="321"/>
    </row>
    <row r="16" spans="1:22" s="325" customFormat="1" ht="19.5" customHeight="1">
      <c r="A16" s="895" t="s">
        <v>457</v>
      </c>
      <c r="B16" s="317">
        <v>904914.33</v>
      </c>
      <c r="C16" s="317">
        <v>708059.38</v>
      </c>
      <c r="D16" s="1219">
        <f>58113840.53-54996250.47-2621.72</f>
        <v>3114968.340000002</v>
      </c>
      <c r="E16" s="1219">
        <f>47508513.18-46926535.37</f>
        <v>581977.8100000024</v>
      </c>
      <c r="F16" s="1219">
        <f>49909502.54-49462723.34</f>
        <v>446779.19999999553</v>
      </c>
      <c r="G16" s="1219">
        <f>60057395.82-59193518.88-14554.77</f>
        <v>849322.1699999976</v>
      </c>
      <c r="H16" s="1219">
        <f>109706365.11-108422393.86</f>
        <v>1283971.25</v>
      </c>
      <c r="I16" s="1219">
        <f>70391206.39-69382255.77-36777.55</f>
        <v>972173.0700000047</v>
      </c>
      <c r="J16" s="1219">
        <f>84061629.71-82545265.04-71.5</f>
        <v>1516293.169999987</v>
      </c>
      <c r="K16" s="1219">
        <v>2674187.3</v>
      </c>
      <c r="L16" s="1219">
        <f>79871544.49-78676611.96-2847.79</f>
        <v>1192084.7400000012</v>
      </c>
      <c r="M16" s="1219">
        <f>99455471.57-97091601.87-13473.88</f>
        <v>2350395.819999988</v>
      </c>
      <c r="N16" s="1219">
        <f>59961191.9-57710790.44-326.85</f>
        <v>2250074.610000001</v>
      </c>
      <c r="O16" s="1219">
        <f>70881411.43-66456864.23-1016.31</f>
        <v>4423530.890000011</v>
      </c>
      <c r="P16" s="726">
        <f t="shared" si="3"/>
        <v>21655758.369999994</v>
      </c>
      <c r="Q16" s="333">
        <f>853440801-829342944.01</f>
        <v>24097856.99000001</v>
      </c>
      <c r="R16" s="323"/>
      <c r="S16" s="306"/>
      <c r="T16" s="323"/>
      <c r="U16" s="319"/>
      <c r="V16" s="324"/>
    </row>
    <row r="17" spans="1:21" s="17" customFormat="1" ht="19.5" customHeight="1">
      <c r="A17" s="873" t="s">
        <v>424</v>
      </c>
      <c r="B17" s="309">
        <v>5577502.2</v>
      </c>
      <c r="C17" s="309">
        <v>5595518.79</v>
      </c>
      <c r="D17" s="311">
        <v>11040027.49</v>
      </c>
      <c r="E17" s="311">
        <v>12235452.06</v>
      </c>
      <c r="F17" s="311">
        <v>8426392.22</v>
      </c>
      <c r="G17" s="311">
        <v>6441911.47</v>
      </c>
      <c r="H17" s="311">
        <v>14935035.63</v>
      </c>
      <c r="I17" s="311">
        <v>11459124.37</v>
      </c>
      <c r="J17" s="311">
        <v>10852564.48</v>
      </c>
      <c r="K17" s="311">
        <v>12198597.07</v>
      </c>
      <c r="L17" s="311">
        <v>11814183.35</v>
      </c>
      <c r="M17" s="311">
        <v>17577269.62</v>
      </c>
      <c r="N17" s="311">
        <v>11546850.08</v>
      </c>
      <c r="O17" s="311">
        <v>11683648.88</v>
      </c>
      <c r="P17" s="310">
        <f t="shared" si="3"/>
        <v>140211056.72</v>
      </c>
      <c r="Q17" s="329">
        <v>165887575</v>
      </c>
      <c r="R17" s="314"/>
      <c r="S17" s="314"/>
      <c r="T17" s="313"/>
      <c r="U17" s="304"/>
    </row>
    <row r="18" spans="1:21" s="17" customFormat="1" ht="19.5" customHeight="1">
      <c r="A18" s="873" t="s">
        <v>139</v>
      </c>
      <c r="B18" s="309">
        <v>1200062.19</v>
      </c>
      <c r="C18" s="309">
        <v>1489572.4</v>
      </c>
      <c r="D18" s="326">
        <f>D19+D20</f>
        <v>1038369.71</v>
      </c>
      <c r="E18" s="326">
        <f>E19+E20</f>
        <v>2693846.6</v>
      </c>
      <c r="F18" s="326">
        <f>F19+F20</f>
        <v>5198879.15</v>
      </c>
      <c r="G18" s="326">
        <f>G19+G20</f>
        <v>4723443.199999999</v>
      </c>
      <c r="H18" s="326">
        <f aca="true" t="shared" si="4" ref="H18:Q18">H19+H20</f>
        <v>3940950.62</v>
      </c>
      <c r="I18" s="311">
        <f t="shared" si="4"/>
        <v>63113743.7</v>
      </c>
      <c r="J18" s="311">
        <f t="shared" si="4"/>
        <v>562284.64</v>
      </c>
      <c r="K18" s="311">
        <f t="shared" si="4"/>
        <v>1151008.73</v>
      </c>
      <c r="L18" s="311">
        <f t="shared" si="4"/>
        <v>7907650.39</v>
      </c>
      <c r="M18" s="311">
        <f t="shared" si="4"/>
        <v>7676850.34</v>
      </c>
      <c r="N18" s="326">
        <f t="shared" si="4"/>
        <v>757259.22</v>
      </c>
      <c r="O18" s="326">
        <f t="shared" si="4"/>
        <v>199574.97999999998</v>
      </c>
      <c r="P18" s="310">
        <f t="shared" si="4"/>
        <v>98963861.28</v>
      </c>
      <c r="Q18" s="310">
        <f t="shared" si="4"/>
        <v>47927261</v>
      </c>
      <c r="R18" s="327"/>
      <c r="S18" s="328"/>
      <c r="T18" s="313"/>
      <c r="U18" s="304"/>
    </row>
    <row r="19" spans="1:21" s="17" customFormat="1" ht="19.5" customHeight="1">
      <c r="A19" s="1218" t="s">
        <v>443</v>
      </c>
      <c r="B19" s="309"/>
      <c r="C19" s="309"/>
      <c r="D19" s="1219">
        <v>1021469.44</v>
      </c>
      <c r="E19" s="1219">
        <v>2663840.39</v>
      </c>
      <c r="F19" s="1219">
        <v>5196029.71</v>
      </c>
      <c r="G19" s="1219">
        <v>4711706.6</v>
      </c>
      <c r="H19" s="1219">
        <v>3885738.37</v>
      </c>
      <c r="I19" s="1219">
        <v>3000505.6</v>
      </c>
      <c r="J19" s="1219">
        <v>492556.17</v>
      </c>
      <c r="K19" s="1219">
        <v>1120490.51</v>
      </c>
      <c r="L19" s="1219">
        <v>7881431.37</v>
      </c>
      <c r="M19" s="1219">
        <v>7594101.01</v>
      </c>
      <c r="N19" s="1219">
        <v>744520.74</v>
      </c>
      <c r="O19" s="1219">
        <v>157640.11</v>
      </c>
      <c r="P19" s="726">
        <f>SUM(D19:O19)</f>
        <v>38470030.02</v>
      </c>
      <c r="Q19" s="329">
        <v>47031681</v>
      </c>
      <c r="R19" s="327"/>
      <c r="S19" s="328"/>
      <c r="T19" s="313"/>
      <c r="U19" s="304"/>
    </row>
    <row r="20" spans="1:21" s="17" customFormat="1" ht="19.5" customHeight="1">
      <c r="A20" s="1218" t="s">
        <v>444</v>
      </c>
      <c r="B20" s="309"/>
      <c r="C20" s="309"/>
      <c r="D20" s="1219">
        <f>16249.84+650.43</f>
        <v>16900.27</v>
      </c>
      <c r="E20" s="1219">
        <f>11762.69+18243.52</f>
        <v>30006.21</v>
      </c>
      <c r="F20" s="1219">
        <f>2823.48+25.96</f>
        <v>2849.44</v>
      </c>
      <c r="G20" s="1219">
        <f>11736.6</f>
        <v>11736.6</v>
      </c>
      <c r="H20" s="1219">
        <f>55212.25</f>
        <v>55212.25</v>
      </c>
      <c r="I20" s="1219">
        <f>60000000+107838.1+5400</f>
        <v>60113238.1</v>
      </c>
      <c r="J20" s="1219">
        <f>67648.47+2080</f>
        <v>69728.47</v>
      </c>
      <c r="K20" s="1219">
        <f>6680+23838.22</f>
        <v>30518.22</v>
      </c>
      <c r="L20" s="1219">
        <f>25679.02+540</f>
        <v>26219.02</v>
      </c>
      <c r="M20" s="1219">
        <f>82509.33+240</f>
        <v>82749.33</v>
      </c>
      <c r="N20" s="1219">
        <f>12738.48</f>
        <v>12738.48</v>
      </c>
      <c r="O20" s="1219">
        <f>41934.87</f>
        <v>41934.87</v>
      </c>
      <c r="P20" s="726">
        <f>SUM(D20:O20)</f>
        <v>60493831.26</v>
      </c>
      <c r="Q20" s="329">
        <f>870633+24947</f>
        <v>895580</v>
      </c>
      <c r="R20" s="327"/>
      <c r="S20" s="328"/>
      <c r="T20" s="313"/>
      <c r="U20" s="304"/>
    </row>
    <row r="21" spans="1:21" s="17" customFormat="1" ht="19.5" customHeight="1">
      <c r="A21" s="874" t="s">
        <v>16</v>
      </c>
      <c r="B21" s="309">
        <v>6667.71</v>
      </c>
      <c r="C21" s="309">
        <v>8520.57</v>
      </c>
      <c r="D21" s="1219">
        <v>0</v>
      </c>
      <c r="E21" s="1219">
        <v>0</v>
      </c>
      <c r="F21" s="1219">
        <v>0</v>
      </c>
      <c r="G21" s="1219">
        <v>0</v>
      </c>
      <c r="H21" s="1219">
        <v>0</v>
      </c>
      <c r="I21" s="326">
        <v>0</v>
      </c>
      <c r="J21" s="326">
        <v>0</v>
      </c>
      <c r="K21" s="326">
        <v>0</v>
      </c>
      <c r="L21" s="326">
        <v>0</v>
      </c>
      <c r="M21" s="326">
        <v>0</v>
      </c>
      <c r="N21" s="1236">
        <v>0</v>
      </c>
      <c r="O21" s="1219">
        <v>0</v>
      </c>
      <c r="P21" s="726">
        <f>SUM(D21:O21)</f>
        <v>0</v>
      </c>
      <c r="Q21" s="870">
        <v>75330</v>
      </c>
      <c r="R21" s="314"/>
      <c r="S21" s="314"/>
      <c r="T21" s="313"/>
      <c r="U21" s="304"/>
    </row>
    <row r="22" spans="1:30" s="308" customFormat="1" ht="19.5" customHeight="1">
      <c r="A22" s="874" t="s">
        <v>140</v>
      </c>
      <c r="B22" s="309">
        <f>SUM(B23:B30)</f>
        <v>85102073.65</v>
      </c>
      <c r="C22" s="309">
        <f>SUM(C23:C30)</f>
        <v>94872944.72</v>
      </c>
      <c r="D22" s="326">
        <f>SUM(D23:D30)</f>
        <v>179836782.29</v>
      </c>
      <c r="E22" s="326">
        <f>SUM(E23:E30)</f>
        <v>181548977.87</v>
      </c>
      <c r="F22" s="326">
        <f aca="true" t="shared" si="5" ref="F22:O22">SUM(F23:F30)</f>
        <v>162247125.39</v>
      </c>
      <c r="G22" s="326">
        <f t="shared" si="5"/>
        <v>196826758.04000002</v>
      </c>
      <c r="H22" s="326">
        <f t="shared" si="5"/>
        <v>242229976.13999996</v>
      </c>
      <c r="I22" s="326">
        <f t="shared" si="5"/>
        <v>229997129.9</v>
      </c>
      <c r="J22" s="329">
        <f t="shared" si="5"/>
        <v>192401227.7</v>
      </c>
      <c r="K22" s="329">
        <f t="shared" si="5"/>
        <v>205297116.47</v>
      </c>
      <c r="L22" s="326">
        <f t="shared" si="5"/>
        <v>191515968.24</v>
      </c>
      <c r="M22" s="326">
        <f t="shared" si="5"/>
        <v>246030037.83</v>
      </c>
      <c r="N22" s="326">
        <f t="shared" si="5"/>
        <v>230423396.32</v>
      </c>
      <c r="O22" s="326">
        <f t="shared" si="5"/>
        <v>227951749.54</v>
      </c>
      <c r="P22" s="326">
        <f>SUM(P23:P30)</f>
        <v>2486306245.73</v>
      </c>
      <c r="Q22" s="329">
        <f>SUM(Q23:Q30)</f>
        <v>2213409382.14</v>
      </c>
      <c r="R22" s="304"/>
      <c r="S22" s="313"/>
      <c r="T22" s="313"/>
      <c r="U22" s="315"/>
      <c r="V22" s="17"/>
      <c r="W22" s="17"/>
      <c r="X22" s="17"/>
      <c r="Y22" s="17"/>
      <c r="Z22" s="17"/>
      <c r="AA22" s="17"/>
      <c r="AB22" s="17"/>
      <c r="AC22" s="17"/>
      <c r="AD22" s="17"/>
    </row>
    <row r="23" spans="1:21" s="320" customFormat="1" ht="19.5" customHeight="1">
      <c r="A23" s="896" t="s">
        <v>445</v>
      </c>
      <c r="B23" s="316">
        <v>23837662.26</v>
      </c>
      <c r="C23" s="316">
        <v>20568609.89</v>
      </c>
      <c r="D23" s="1219">
        <v>40541015.31</v>
      </c>
      <c r="E23" s="1219">
        <v>39739169.79</v>
      </c>
      <c r="F23" s="1219">
        <v>41518435.9</v>
      </c>
      <c r="G23" s="1219">
        <v>33798233.88</v>
      </c>
      <c r="H23" s="1219">
        <f>34660739.21+23603959.08</f>
        <v>58264698.29</v>
      </c>
      <c r="I23" s="1219">
        <v>37011140.46</v>
      </c>
      <c r="J23" s="1219">
        <v>29812799.65</v>
      </c>
      <c r="K23" s="1219">
        <v>40115994.25</v>
      </c>
      <c r="L23" s="1219">
        <v>53170711.94</v>
      </c>
      <c r="M23" s="1219">
        <f>55727896.21+23553742.03</f>
        <v>79281638.24000001</v>
      </c>
      <c r="N23" s="1219">
        <v>57595806.35</v>
      </c>
      <c r="O23" s="1219">
        <v>75493498.8</v>
      </c>
      <c r="P23" s="726">
        <f aca="true" t="shared" si="6" ref="P23:P31">SUM(D23:O23)</f>
        <v>586343142.86</v>
      </c>
      <c r="Q23" s="333">
        <f>548517313-2240</f>
        <v>548515073</v>
      </c>
      <c r="R23" s="306"/>
      <c r="S23" s="331"/>
      <c r="T23" s="305"/>
      <c r="U23" s="330"/>
    </row>
    <row r="24" spans="1:21" s="320" customFormat="1" ht="19.5" customHeight="1">
      <c r="A24" s="896" t="s">
        <v>446</v>
      </c>
      <c r="B24" s="316">
        <v>18440365.8</v>
      </c>
      <c r="C24" s="316">
        <v>19955818.11</v>
      </c>
      <c r="D24" s="1219">
        <v>47693669.68</v>
      </c>
      <c r="E24" s="1219">
        <v>42146014.56</v>
      </c>
      <c r="F24" s="1219">
        <v>38531420.5</v>
      </c>
      <c r="G24" s="1219">
        <v>40852977.7</v>
      </c>
      <c r="H24" s="1219">
        <v>48452724.94</v>
      </c>
      <c r="I24" s="1219">
        <v>61942956.05</v>
      </c>
      <c r="J24" s="1219">
        <v>55448036.14</v>
      </c>
      <c r="K24" s="1219">
        <v>62094000.13</v>
      </c>
      <c r="L24" s="1219">
        <v>59071300.36</v>
      </c>
      <c r="M24" s="1219">
        <v>62091899.38</v>
      </c>
      <c r="N24" s="1219">
        <v>70700563.89</v>
      </c>
      <c r="O24" s="1219">
        <v>53251349.76</v>
      </c>
      <c r="P24" s="726">
        <f t="shared" si="6"/>
        <v>642276913.09</v>
      </c>
      <c r="Q24" s="333">
        <v>632881299</v>
      </c>
      <c r="R24" s="332"/>
      <c r="S24" s="306"/>
      <c r="T24" s="306"/>
      <c r="U24" s="307"/>
    </row>
    <row r="25" spans="1:22" s="320" customFormat="1" ht="19.5" customHeight="1">
      <c r="A25" s="896" t="s">
        <v>447</v>
      </c>
      <c r="B25" s="316">
        <v>4478497.12</v>
      </c>
      <c r="C25" s="316">
        <v>4714661.46</v>
      </c>
      <c r="D25" s="1219">
        <v>22227018.04</v>
      </c>
      <c r="E25" s="1219">
        <v>2581726.66</v>
      </c>
      <c r="F25" s="1219">
        <v>3198195.25</v>
      </c>
      <c r="G25" s="1219">
        <v>9316958.89</v>
      </c>
      <c r="H25" s="1219">
        <v>12696231.76</v>
      </c>
      <c r="I25" s="1219">
        <v>6415357.62</v>
      </c>
      <c r="J25" s="1219">
        <v>5173494.02</v>
      </c>
      <c r="K25" s="1219">
        <v>7287059.4</v>
      </c>
      <c r="L25" s="1219">
        <v>4459330.21</v>
      </c>
      <c r="M25" s="1219">
        <v>3710549.21</v>
      </c>
      <c r="N25" s="1219">
        <v>5833637.07</v>
      </c>
      <c r="O25" s="1219">
        <v>11464212.84</v>
      </c>
      <c r="P25" s="726">
        <f t="shared" si="6"/>
        <v>94363770.97</v>
      </c>
      <c r="Q25" s="333">
        <v>82170170</v>
      </c>
      <c r="R25" s="306"/>
      <c r="S25" s="306"/>
      <c r="T25" s="306"/>
      <c r="U25" s="307"/>
      <c r="V25" s="322"/>
    </row>
    <row r="26" spans="1:21" s="320" customFormat="1" ht="19.5" customHeight="1">
      <c r="A26" s="896" t="s">
        <v>448</v>
      </c>
      <c r="B26" s="316">
        <v>150.79</v>
      </c>
      <c r="C26" s="316">
        <v>251.89</v>
      </c>
      <c r="D26" s="1219">
        <v>455.25</v>
      </c>
      <c r="E26" s="1219">
        <v>0</v>
      </c>
      <c r="F26" s="1219">
        <v>23.98</v>
      </c>
      <c r="G26" s="1219">
        <v>522.88</v>
      </c>
      <c r="H26" s="1219">
        <v>0</v>
      </c>
      <c r="I26" s="1219">
        <v>106.19</v>
      </c>
      <c r="J26" s="1219">
        <v>279.86</v>
      </c>
      <c r="K26" s="1219">
        <v>8352.9</v>
      </c>
      <c r="L26" s="1219">
        <v>905.32</v>
      </c>
      <c r="M26" s="1219">
        <v>875.02</v>
      </c>
      <c r="N26" s="1219">
        <v>2404.89</v>
      </c>
      <c r="O26" s="1219">
        <v>645.25</v>
      </c>
      <c r="P26" s="726">
        <f t="shared" si="6"/>
        <v>14571.539999999999</v>
      </c>
      <c r="Q26" s="333">
        <v>2240</v>
      </c>
      <c r="R26" s="306"/>
      <c r="S26" s="306"/>
      <c r="T26" s="306"/>
      <c r="U26" s="307"/>
    </row>
    <row r="27" spans="1:21" s="320" customFormat="1" ht="19.5" customHeight="1">
      <c r="A27" s="896" t="s">
        <v>449</v>
      </c>
      <c r="B27" s="316">
        <v>290965.38</v>
      </c>
      <c r="C27" s="316">
        <f>B27</f>
        <v>290965.38</v>
      </c>
      <c r="D27" s="1219">
        <v>0</v>
      </c>
      <c r="E27" s="1219">
        <v>0</v>
      </c>
      <c r="F27" s="1219">
        <v>0</v>
      </c>
      <c r="G27" s="1219">
        <v>0</v>
      </c>
      <c r="H27" s="1219">
        <v>0</v>
      </c>
      <c r="I27" s="1219">
        <v>0</v>
      </c>
      <c r="J27" s="1219">
        <v>0</v>
      </c>
      <c r="K27" s="1219">
        <v>0</v>
      </c>
      <c r="L27" s="1219">
        <v>0</v>
      </c>
      <c r="M27" s="1219">
        <v>0</v>
      </c>
      <c r="N27" s="1219">
        <v>0</v>
      </c>
      <c r="O27" s="1219">
        <v>0</v>
      </c>
      <c r="P27" s="726">
        <f t="shared" si="6"/>
        <v>0</v>
      </c>
      <c r="Q27" s="333"/>
      <c r="R27" s="306"/>
      <c r="S27" s="331"/>
      <c r="T27" s="306"/>
      <c r="U27" s="307"/>
    </row>
    <row r="28" spans="1:21" s="320" customFormat="1" ht="19.5" customHeight="1">
      <c r="A28" s="896" t="s">
        <v>450</v>
      </c>
      <c r="B28" s="316"/>
      <c r="C28" s="316"/>
      <c r="D28" s="1219">
        <v>480991.45</v>
      </c>
      <c r="E28" s="1219">
        <v>161614.23</v>
      </c>
      <c r="F28" s="1219">
        <v>67235.47</v>
      </c>
      <c r="G28" s="1219">
        <v>331041.37</v>
      </c>
      <c r="H28" s="1219">
        <v>464942.19</v>
      </c>
      <c r="I28" s="1219">
        <v>537712.88</v>
      </c>
      <c r="J28" s="1219">
        <v>631608.62</v>
      </c>
      <c r="K28" s="1219">
        <v>644985.79</v>
      </c>
      <c r="L28" s="1219">
        <v>870233.64</v>
      </c>
      <c r="M28" s="1219">
        <v>648137.42</v>
      </c>
      <c r="N28" s="1219">
        <v>683312.17</v>
      </c>
      <c r="O28" s="1219">
        <v>558950.1</v>
      </c>
      <c r="P28" s="726">
        <f t="shared" si="6"/>
        <v>6080765.33</v>
      </c>
      <c r="Q28" s="333">
        <v>5866770</v>
      </c>
      <c r="R28" s="306"/>
      <c r="S28" s="306"/>
      <c r="T28" s="306"/>
      <c r="U28" s="307"/>
    </row>
    <row r="29" spans="1:21" s="320" customFormat="1" ht="19.5" customHeight="1">
      <c r="A29" s="896" t="s">
        <v>451</v>
      </c>
      <c r="B29" s="316">
        <v>16163396.33</v>
      </c>
      <c r="C29" s="316">
        <v>23889755.74</v>
      </c>
      <c r="D29" s="1219">
        <v>30807356.06</v>
      </c>
      <c r="E29" s="1219">
        <v>26816805.57</v>
      </c>
      <c r="F29" s="1219">
        <v>28861266.63</v>
      </c>
      <c r="G29" s="1219">
        <v>27953357.37</v>
      </c>
      <c r="H29" s="1219">
        <v>29074739.47</v>
      </c>
      <c r="I29" s="1219">
        <v>31095899.47</v>
      </c>
      <c r="J29" s="1219">
        <v>28649026.4</v>
      </c>
      <c r="K29" s="1219">
        <v>31926037.68</v>
      </c>
      <c r="L29" s="1219">
        <v>30732088.54</v>
      </c>
      <c r="M29" s="1219">
        <v>31686819.34</v>
      </c>
      <c r="N29" s="1219">
        <v>59580925.95</v>
      </c>
      <c r="O29" s="1219">
        <v>45830548.74</v>
      </c>
      <c r="P29" s="726">
        <f t="shared" si="6"/>
        <v>403014871.21999997</v>
      </c>
      <c r="Q29" s="333">
        <v>377105853</v>
      </c>
      <c r="R29" s="306"/>
      <c r="S29" s="306"/>
      <c r="T29" s="306"/>
      <c r="U29" s="307"/>
    </row>
    <row r="30" spans="1:21" s="320" customFormat="1" ht="19.5" customHeight="1">
      <c r="A30" s="896" t="s">
        <v>452</v>
      </c>
      <c r="B30" s="316">
        <v>21891035.97</v>
      </c>
      <c r="C30" s="316">
        <v>25452882.25</v>
      </c>
      <c r="D30" s="1219">
        <v>38086276.5</v>
      </c>
      <c r="E30" s="1219">
        <f>181548977.87-111445330.81</f>
        <v>70103647.06</v>
      </c>
      <c r="F30" s="1219">
        <f>162247125.39-112176577.73</f>
        <v>50070547.65999998</v>
      </c>
      <c r="G30" s="1219">
        <f>196826758.04-112253092.09</f>
        <v>84573665.94999999</v>
      </c>
      <c r="H30" s="1219">
        <f>242229976.14-148953336.65</f>
        <v>93276639.48999998</v>
      </c>
      <c r="I30" s="1219">
        <f>229997129.9-137003172.67</f>
        <v>92993957.23000002</v>
      </c>
      <c r="J30" s="1219">
        <f>192401227.7-119715244.69</f>
        <v>72685983.00999999</v>
      </c>
      <c r="K30" s="1219">
        <f>205297116.47-142076430.15</f>
        <v>63220686.31999999</v>
      </c>
      <c r="L30" s="1219">
        <f>191515968.24-148304570.01</f>
        <v>43211398.23000002</v>
      </c>
      <c r="M30" s="1219">
        <f>246030037.83-177419918.61</f>
        <v>68610119.22</v>
      </c>
      <c r="N30" s="1219">
        <f>230423396.32-194396650.32</f>
        <v>36026746</v>
      </c>
      <c r="O30" s="1219">
        <f>227951749.54-186599205.49</f>
        <v>41352544.04999998</v>
      </c>
      <c r="P30" s="726">
        <f t="shared" si="6"/>
        <v>754212210.72</v>
      </c>
      <c r="Q30" s="333">
        <f>2213409382.14-1646541405</f>
        <v>566867977.1399999</v>
      </c>
      <c r="R30" s="306"/>
      <c r="S30" s="306"/>
      <c r="T30" s="306"/>
      <c r="U30" s="307"/>
    </row>
    <row r="31" spans="1:21" s="17" customFormat="1" ht="24" customHeight="1">
      <c r="A31" s="874" t="s">
        <v>141</v>
      </c>
      <c r="B31" s="309">
        <v>1871151.09</v>
      </c>
      <c r="C31" s="309">
        <v>1782072.97</v>
      </c>
      <c r="D31" s="311">
        <v>2382232.55</v>
      </c>
      <c r="E31" s="311">
        <v>1082958.27</v>
      </c>
      <c r="F31" s="311">
        <v>1300085.62</v>
      </c>
      <c r="G31" s="311">
        <v>2643590.76</v>
      </c>
      <c r="H31" s="311">
        <v>6413607.85</v>
      </c>
      <c r="I31" s="311">
        <v>5667741.13</v>
      </c>
      <c r="J31" s="311">
        <v>5220663.45</v>
      </c>
      <c r="K31" s="311">
        <v>2526328.79</v>
      </c>
      <c r="L31" s="311">
        <v>2246074.03</v>
      </c>
      <c r="M31" s="311">
        <v>7815131.22</v>
      </c>
      <c r="N31" s="311">
        <v>894976.89</v>
      </c>
      <c r="O31" s="311">
        <v>3817659.2</v>
      </c>
      <c r="P31" s="310">
        <f t="shared" si="6"/>
        <v>42011049.760000005</v>
      </c>
      <c r="Q31" s="329">
        <v>217032068</v>
      </c>
      <c r="R31" s="334"/>
      <c r="S31" s="314"/>
      <c r="T31" s="314"/>
      <c r="U31" s="315"/>
    </row>
    <row r="32" spans="1:180" s="308" customFormat="1" ht="24" customHeight="1">
      <c r="A32" s="873" t="s">
        <v>142</v>
      </c>
      <c r="B32" s="335">
        <f>B33+B35+B34</f>
        <v>12149540.29</v>
      </c>
      <c r="C32" s="335">
        <f>C33+C35+C34</f>
        <v>11808330.88</v>
      </c>
      <c r="D32" s="336">
        <f>D33+D34+D35</f>
        <v>27316838.39</v>
      </c>
      <c r="E32" s="336">
        <f>E33+E34+E35</f>
        <v>22897532.64</v>
      </c>
      <c r="F32" s="336">
        <f>F33+F34+F35</f>
        <v>19454622.009999998</v>
      </c>
      <c r="G32" s="336">
        <f>G33+G34+G35</f>
        <v>18849105.99</v>
      </c>
      <c r="H32" s="336">
        <f aca="true" t="shared" si="7" ref="H32:O32">H33+H34+H35</f>
        <v>28980052.65</v>
      </c>
      <c r="I32" s="336">
        <f t="shared" si="7"/>
        <v>26800358.04</v>
      </c>
      <c r="J32" s="336">
        <f t="shared" si="7"/>
        <v>22905009.38</v>
      </c>
      <c r="K32" s="336">
        <f t="shared" si="7"/>
        <v>27662213.740000002</v>
      </c>
      <c r="L32" s="336">
        <f t="shared" si="7"/>
        <v>28876846.09</v>
      </c>
      <c r="M32" s="336">
        <f t="shared" si="7"/>
        <v>35238590</v>
      </c>
      <c r="N32" s="336">
        <f t="shared" si="7"/>
        <v>32118647.02</v>
      </c>
      <c r="O32" s="336">
        <f t="shared" si="7"/>
        <v>33736183.58</v>
      </c>
      <c r="P32" s="336">
        <f>P33+P34+P35</f>
        <v>324835999.53000003</v>
      </c>
      <c r="Q32" s="336">
        <f>Q33+Q34+Q35</f>
        <v>331990985</v>
      </c>
      <c r="R32" s="304"/>
      <c r="S32" s="305"/>
      <c r="T32" s="306"/>
      <c r="U32" s="30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7"/>
      <c r="BC32" s="337"/>
      <c r="BD32" s="337"/>
      <c r="BE32" s="337"/>
      <c r="BF32" s="337"/>
      <c r="BG32" s="337"/>
      <c r="BH32" s="337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7"/>
      <c r="CO32" s="337"/>
      <c r="CP32" s="337"/>
      <c r="CQ32" s="337"/>
      <c r="CR32" s="337"/>
      <c r="CS32" s="337"/>
      <c r="CT32" s="337"/>
      <c r="CU32" s="337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7"/>
      <c r="DG32" s="337"/>
      <c r="DH32" s="337"/>
      <c r="DI32" s="337"/>
      <c r="DJ32" s="337"/>
      <c r="DK32" s="337"/>
      <c r="DL32" s="337"/>
      <c r="DM32" s="337"/>
      <c r="DN32" s="337"/>
      <c r="DO32" s="337"/>
      <c r="DP32" s="337"/>
      <c r="DQ32" s="337"/>
      <c r="DR32" s="337"/>
      <c r="DS32" s="337"/>
      <c r="DT32" s="337"/>
      <c r="DU32" s="337"/>
      <c r="DV32" s="337"/>
      <c r="DW32" s="337"/>
      <c r="DX32" s="337"/>
      <c r="DY32" s="337"/>
      <c r="DZ32" s="337"/>
      <c r="EA32" s="337"/>
      <c r="EB32" s="337"/>
      <c r="EC32" s="337"/>
      <c r="ED32" s="337"/>
      <c r="EE32" s="337"/>
      <c r="EF32" s="337"/>
      <c r="EG32" s="337"/>
      <c r="EH32" s="337"/>
      <c r="EI32" s="337"/>
      <c r="EJ32" s="337"/>
      <c r="EK32" s="337"/>
      <c r="EL32" s="337"/>
      <c r="EM32" s="337"/>
      <c r="EN32" s="337"/>
      <c r="EO32" s="337"/>
      <c r="EP32" s="337"/>
      <c r="EQ32" s="337"/>
      <c r="ER32" s="337"/>
      <c r="ES32" s="337"/>
      <c r="ET32" s="337"/>
      <c r="EU32" s="337"/>
      <c r="EV32" s="337"/>
      <c r="EW32" s="337"/>
      <c r="EX32" s="337"/>
      <c r="EY32" s="337"/>
      <c r="EZ32" s="337"/>
      <c r="FA32" s="337"/>
      <c r="FB32" s="337"/>
      <c r="FC32" s="337"/>
      <c r="FD32" s="337"/>
      <c r="FE32" s="337"/>
      <c r="FF32" s="337"/>
      <c r="FG32" s="337"/>
      <c r="FH32" s="337"/>
      <c r="FI32" s="337"/>
      <c r="FJ32" s="337"/>
      <c r="FK32" s="337"/>
      <c r="FL32" s="337"/>
      <c r="FM32" s="337"/>
      <c r="FN32" s="337"/>
      <c r="FO32" s="337"/>
      <c r="FP32" s="337"/>
      <c r="FQ32" s="337"/>
      <c r="FR32" s="337"/>
      <c r="FS32" s="337"/>
      <c r="FT32" s="337"/>
      <c r="FU32" s="337"/>
      <c r="FV32" s="337"/>
      <c r="FW32" s="337"/>
      <c r="FX32" s="337"/>
    </row>
    <row r="33" spans="1:21" s="320" customFormat="1" ht="22.5" customHeight="1">
      <c r="A33" s="897" t="s">
        <v>458</v>
      </c>
      <c r="B33" s="338">
        <v>2683864.55</v>
      </c>
      <c r="C33" s="338">
        <v>2631769.92</v>
      </c>
      <c r="D33" s="1219">
        <v>5128208.53</v>
      </c>
      <c r="E33" s="1219">
        <v>5971827.68</v>
      </c>
      <c r="F33" s="1219">
        <v>2791559.84</v>
      </c>
      <c r="G33" s="1219">
        <v>1989159.09</v>
      </c>
      <c r="H33" s="1219">
        <v>9725125.08</v>
      </c>
      <c r="I33" s="1219">
        <v>5618903.49</v>
      </c>
      <c r="J33" s="1219">
        <v>4691765.79</v>
      </c>
      <c r="K33" s="1219">
        <v>5632135.33</v>
      </c>
      <c r="L33" s="1219">
        <v>5362349.86</v>
      </c>
      <c r="M33" s="1219">
        <v>10802718.6</v>
      </c>
      <c r="N33" s="1219">
        <v>5155502.19</v>
      </c>
      <c r="O33" s="1219">
        <v>5582452.28</v>
      </c>
      <c r="P33" s="726">
        <f>SUM(D33:O33)</f>
        <v>68451707.75999999</v>
      </c>
      <c r="Q33" s="333">
        <v>86353848</v>
      </c>
      <c r="R33" s="306"/>
      <c r="S33" s="306"/>
      <c r="T33" s="306"/>
      <c r="U33" s="307"/>
    </row>
    <row r="34" spans="1:21" s="320" customFormat="1" ht="18.75" customHeight="1">
      <c r="A34" s="897" t="s">
        <v>535</v>
      </c>
      <c r="B34" s="316">
        <v>14996.57</v>
      </c>
      <c r="C34" s="316">
        <v>14996.57</v>
      </c>
      <c r="D34" s="1219">
        <v>0</v>
      </c>
      <c r="E34" s="1219">
        <v>0</v>
      </c>
      <c r="F34" s="1219">
        <v>0</v>
      </c>
      <c r="G34" s="1219">
        <v>0</v>
      </c>
      <c r="H34" s="1219">
        <v>0</v>
      </c>
      <c r="I34" s="1219"/>
      <c r="J34" s="1219"/>
      <c r="K34" s="1219"/>
      <c r="L34" s="1219"/>
      <c r="M34" s="1219"/>
      <c r="N34" s="1219"/>
      <c r="O34" s="1219"/>
      <c r="P34" s="726">
        <v>0</v>
      </c>
      <c r="Q34" s="333">
        <v>0</v>
      </c>
      <c r="R34" s="306"/>
      <c r="S34" s="306"/>
      <c r="T34" s="306"/>
      <c r="U34" s="307"/>
    </row>
    <row r="35" spans="1:21" s="320" customFormat="1" ht="21" customHeight="1">
      <c r="A35" s="897" t="s">
        <v>459</v>
      </c>
      <c r="B35" s="316">
        <v>9450679.17</v>
      </c>
      <c r="C35" s="316">
        <v>9161564.39</v>
      </c>
      <c r="D35" s="1219">
        <v>22188629.86</v>
      </c>
      <c r="E35" s="1219">
        <v>16925704.96</v>
      </c>
      <c r="F35" s="1219">
        <v>16663062.17</v>
      </c>
      <c r="G35" s="1219">
        <v>16859946.9</v>
      </c>
      <c r="H35" s="1219">
        <v>19254927.57</v>
      </c>
      <c r="I35" s="1219">
        <v>21181454.55</v>
      </c>
      <c r="J35" s="1219">
        <v>18213243.59</v>
      </c>
      <c r="K35" s="1219">
        <v>22030078.41</v>
      </c>
      <c r="L35" s="1219">
        <v>23514496.23</v>
      </c>
      <c r="M35" s="1219">
        <v>24435871.4</v>
      </c>
      <c r="N35" s="1219">
        <v>26963144.83</v>
      </c>
      <c r="O35" s="1219">
        <v>28153731.3</v>
      </c>
      <c r="P35" s="726">
        <f>SUM(D35:O35)</f>
        <v>256384291.77000004</v>
      </c>
      <c r="Q35" s="871">
        <v>245637137</v>
      </c>
      <c r="R35" s="306"/>
      <c r="S35" s="306"/>
      <c r="T35" s="306"/>
      <c r="U35" s="307"/>
    </row>
    <row r="36" spans="1:21" s="260" customFormat="1" ht="23.25" customHeight="1">
      <c r="A36" s="990" t="s">
        <v>143</v>
      </c>
      <c r="B36" s="991">
        <f>B10-B32</f>
        <v>115724153.72</v>
      </c>
      <c r="C36" s="991">
        <f>C10-C32</f>
        <v>118192070.28999999</v>
      </c>
      <c r="D36" s="992">
        <f>D10-D32</f>
        <v>225091792.46000004</v>
      </c>
      <c r="E36" s="991">
        <f>E10-E32</f>
        <v>222172215.34000003</v>
      </c>
      <c r="F36" s="991">
        <f aca="true" t="shared" si="8" ref="F36:K36">F10-F32</f>
        <v>207627362.91</v>
      </c>
      <c r="G36" s="991">
        <f t="shared" si="8"/>
        <v>251829438.53000003</v>
      </c>
      <c r="H36" s="991">
        <f t="shared" si="8"/>
        <v>348245882.7</v>
      </c>
      <c r="I36" s="991">
        <f t="shared" si="8"/>
        <v>353791809.90000004</v>
      </c>
      <c r="J36" s="991">
        <f t="shared" si="8"/>
        <v>270193289.09999996</v>
      </c>
      <c r="K36" s="993">
        <f t="shared" si="8"/>
        <v>275595635.09000003</v>
      </c>
      <c r="L36" s="994">
        <f aca="true" t="shared" si="9" ref="L36:Q36">L10-L32</f>
        <v>264475726.61999997</v>
      </c>
      <c r="M36" s="994">
        <f t="shared" si="9"/>
        <v>343493583.75</v>
      </c>
      <c r="N36" s="992">
        <f t="shared" si="9"/>
        <v>271464700.53999996</v>
      </c>
      <c r="O36" s="991">
        <f t="shared" si="9"/>
        <v>280796844.14</v>
      </c>
      <c r="P36" s="1232">
        <f t="shared" si="9"/>
        <v>3314778281.0800004</v>
      </c>
      <c r="Q36" s="993">
        <f t="shared" si="9"/>
        <v>3165781432.14</v>
      </c>
      <c r="R36" s="340"/>
      <c r="S36" s="341"/>
      <c r="T36" s="341"/>
      <c r="U36" s="342"/>
    </row>
    <row r="37" spans="1:21" s="260" customFormat="1" ht="38.25">
      <c r="A37" s="995" t="s">
        <v>536</v>
      </c>
      <c r="B37" s="339"/>
      <c r="C37" s="339"/>
      <c r="D37" s="339">
        <v>0</v>
      </c>
      <c r="E37" s="339">
        <v>0</v>
      </c>
      <c r="F37" s="339">
        <v>0</v>
      </c>
      <c r="G37" s="339">
        <v>0</v>
      </c>
      <c r="H37" s="339">
        <v>0</v>
      </c>
      <c r="I37" s="339">
        <v>0</v>
      </c>
      <c r="J37" s="339">
        <v>0</v>
      </c>
      <c r="K37" s="339">
        <v>0</v>
      </c>
      <c r="L37" s="727">
        <v>0</v>
      </c>
      <c r="M37" s="727">
        <v>0</v>
      </c>
      <c r="N37" s="339">
        <v>0</v>
      </c>
      <c r="O37" s="339">
        <v>0</v>
      </c>
      <c r="P37" s="726">
        <f>SUM(D37:O37)</f>
        <v>0</v>
      </c>
      <c r="Q37" s="339">
        <v>0</v>
      </c>
      <c r="R37" s="340"/>
      <c r="S37" s="341"/>
      <c r="T37" s="341"/>
      <c r="U37" s="342"/>
    </row>
    <row r="38" spans="1:21" s="260" customFormat="1" ht="38.25">
      <c r="A38" s="998" t="s">
        <v>537</v>
      </c>
      <c r="B38" s="339"/>
      <c r="C38" s="339"/>
      <c r="D38" s="339">
        <f>D36-D37</f>
        <v>225091792.46000004</v>
      </c>
      <c r="E38" s="339">
        <f aca="true" t="shared" si="10" ref="E38:Q38">E36-E37</f>
        <v>222172215.34000003</v>
      </c>
      <c r="F38" s="339">
        <f t="shared" si="10"/>
        <v>207627362.91</v>
      </c>
      <c r="G38" s="339">
        <f t="shared" si="10"/>
        <v>251829438.53000003</v>
      </c>
      <c r="H38" s="339">
        <f t="shared" si="10"/>
        <v>348245882.7</v>
      </c>
      <c r="I38" s="339">
        <f t="shared" si="10"/>
        <v>353791809.90000004</v>
      </c>
      <c r="J38" s="339">
        <f t="shared" si="10"/>
        <v>270193289.09999996</v>
      </c>
      <c r="K38" s="339">
        <f t="shared" si="10"/>
        <v>275595635.09000003</v>
      </c>
      <c r="L38" s="339">
        <f t="shared" si="10"/>
        <v>264475726.61999997</v>
      </c>
      <c r="M38" s="339">
        <f t="shared" si="10"/>
        <v>343493583.75</v>
      </c>
      <c r="N38" s="339">
        <f t="shared" si="10"/>
        <v>271464700.53999996</v>
      </c>
      <c r="O38" s="339">
        <f t="shared" si="10"/>
        <v>280796844.14</v>
      </c>
      <c r="P38" s="339">
        <f t="shared" si="10"/>
        <v>3314778281.0800004</v>
      </c>
      <c r="Q38" s="339">
        <f t="shared" si="10"/>
        <v>3165781432.14</v>
      </c>
      <c r="R38" s="340"/>
      <c r="S38" s="341"/>
      <c r="T38" s="341"/>
      <c r="U38" s="342"/>
    </row>
    <row r="39" spans="1:21" s="260" customFormat="1" ht="42" customHeight="1">
      <c r="A39" s="995" t="s">
        <v>538</v>
      </c>
      <c r="B39" s="996"/>
      <c r="C39" s="996"/>
      <c r="D39" s="996"/>
      <c r="E39" s="996"/>
      <c r="F39" s="996"/>
      <c r="G39" s="996"/>
      <c r="H39" s="996"/>
      <c r="I39" s="996"/>
      <c r="J39" s="996"/>
      <c r="K39" s="996"/>
      <c r="L39" s="997"/>
      <c r="M39" s="997"/>
      <c r="N39" s="996"/>
      <c r="O39" s="996"/>
      <c r="P39" s="726">
        <f>SUM(D39:O39)</f>
        <v>0</v>
      </c>
      <c r="Q39" s="996">
        <v>0</v>
      </c>
      <c r="R39" s="989"/>
      <c r="S39" s="341"/>
      <c r="T39" s="341"/>
      <c r="U39" s="342"/>
    </row>
    <row r="40" spans="1:21" s="1235" customFormat="1" ht="42" customHeight="1">
      <c r="A40" s="998" t="s">
        <v>767</v>
      </c>
      <c r="B40" s="339"/>
      <c r="C40" s="339"/>
      <c r="D40" s="339">
        <f>D38-D39</f>
        <v>225091792.46000004</v>
      </c>
      <c r="E40" s="339">
        <f aca="true" t="shared" si="11" ref="E40:Q40">E38-E39</f>
        <v>222172215.34000003</v>
      </c>
      <c r="F40" s="339">
        <f t="shared" si="11"/>
        <v>207627362.91</v>
      </c>
      <c r="G40" s="339">
        <f t="shared" si="11"/>
        <v>251829438.53000003</v>
      </c>
      <c r="H40" s="339">
        <f t="shared" si="11"/>
        <v>348245882.7</v>
      </c>
      <c r="I40" s="339">
        <f t="shared" si="11"/>
        <v>353791809.90000004</v>
      </c>
      <c r="J40" s="339">
        <f t="shared" si="11"/>
        <v>270193289.09999996</v>
      </c>
      <c r="K40" s="339">
        <f t="shared" si="11"/>
        <v>275595635.09000003</v>
      </c>
      <c r="L40" s="339">
        <f t="shared" si="11"/>
        <v>264475726.61999997</v>
      </c>
      <c r="M40" s="339">
        <f t="shared" si="11"/>
        <v>343493583.75</v>
      </c>
      <c r="N40" s="339">
        <f t="shared" si="11"/>
        <v>271464700.53999996</v>
      </c>
      <c r="O40" s="339">
        <f t="shared" si="11"/>
        <v>280796844.14</v>
      </c>
      <c r="P40" s="339">
        <f t="shared" si="11"/>
        <v>3314778281.0800004</v>
      </c>
      <c r="Q40" s="339">
        <f t="shared" si="11"/>
        <v>3165781432.14</v>
      </c>
      <c r="R40" s="340"/>
      <c r="S40" s="1233"/>
      <c r="T40" s="1233"/>
      <c r="U40" s="1234"/>
    </row>
    <row r="41" spans="1:21" ht="12.75" customHeight="1">
      <c r="A41" s="291" t="str">
        <f>'[7]Anexo I_BAL ORC'!A96</f>
        <v>FONTE: SECRETARIA MUNICIPAL DA FAZENDA</v>
      </c>
      <c r="B41" s="76"/>
      <c r="C41" s="57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Q41" s="65"/>
      <c r="R41" s="74"/>
      <c r="S41" s="29"/>
      <c r="T41" s="74"/>
      <c r="U41" s="20"/>
    </row>
    <row r="42" spans="1:20" s="20" customFormat="1" ht="18" customHeight="1">
      <c r="A42" s="261"/>
      <c r="B42" s="19"/>
      <c r="C42" s="19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3"/>
      <c r="Q42" s="65"/>
      <c r="R42" s="29"/>
      <c r="S42" s="29"/>
      <c r="T42" s="29"/>
    </row>
    <row r="43" spans="1:20" s="20" customFormat="1" ht="15" customHeight="1">
      <c r="A43" s="292" t="str">
        <f>'Anexo 1 _ BAL ORC'!A99</f>
        <v>  São Luís, 24 de março de 2021</v>
      </c>
      <c r="B43" s="26"/>
      <c r="C43" s="26"/>
      <c r="D43" s="64"/>
      <c r="E43" s="64"/>
      <c r="P43" s="63"/>
      <c r="Q43" s="65"/>
      <c r="R43" s="55"/>
      <c r="S43" s="55"/>
      <c r="T43" s="55"/>
    </row>
    <row r="44" spans="1:17" s="265" customFormat="1" ht="15" customHeight="1">
      <c r="A44" s="293"/>
      <c r="B44" s="266"/>
      <c r="C44" s="266"/>
      <c r="D44" s="266"/>
      <c r="E44" s="266"/>
      <c r="F44" s="294"/>
      <c r="G44" s="266"/>
      <c r="H44" s="294"/>
      <c r="I44" s="266"/>
      <c r="J44" s="266"/>
      <c r="K44" s="266"/>
      <c r="L44" s="266"/>
      <c r="M44" s="266"/>
      <c r="N44" s="266"/>
      <c r="O44" s="266"/>
      <c r="P44" s="295"/>
      <c r="Q44" s="13"/>
    </row>
    <row r="45" spans="1:19" s="265" customFormat="1" ht="15" customHeight="1">
      <c r="A45" s="293"/>
      <c r="B45" s="266"/>
      <c r="C45" s="266"/>
      <c r="D45" s="266"/>
      <c r="E45" s="266"/>
      <c r="F45" s="294"/>
      <c r="G45" s="266"/>
      <c r="H45" s="294"/>
      <c r="I45" s="266"/>
      <c r="J45" s="266"/>
      <c r="K45" s="266"/>
      <c r="L45" s="266"/>
      <c r="M45" s="266"/>
      <c r="N45" s="266"/>
      <c r="O45" s="266"/>
      <c r="P45" s="295"/>
      <c r="Q45" s="266"/>
      <c r="R45" s="296"/>
      <c r="S45" s="296"/>
    </row>
    <row r="46" spans="1:17" s="264" customFormat="1" ht="15" customHeight="1">
      <c r="A46" s="297"/>
      <c r="B46" s="298"/>
      <c r="C46" s="298"/>
      <c r="D46" s="266"/>
      <c r="E46" s="266"/>
      <c r="F46" s="294"/>
      <c r="G46" s="266"/>
      <c r="H46" s="294"/>
      <c r="I46" s="266"/>
      <c r="J46" s="266"/>
      <c r="K46" s="266"/>
      <c r="L46" s="266"/>
      <c r="M46" s="266"/>
      <c r="N46" s="266"/>
      <c r="O46" s="266"/>
      <c r="P46" s="299"/>
      <c r="Q46" s="298"/>
    </row>
    <row r="47" spans="1:17" s="264" customFormat="1" ht="15" customHeight="1">
      <c r="A47" s="297"/>
      <c r="B47" s="298"/>
      <c r="C47" s="298"/>
      <c r="D47" s="300"/>
      <c r="E47" s="300"/>
      <c r="F47" s="294"/>
      <c r="G47" s="300"/>
      <c r="H47" s="294"/>
      <c r="I47" s="300"/>
      <c r="J47" s="300"/>
      <c r="K47" s="300"/>
      <c r="L47" s="300"/>
      <c r="M47" s="300"/>
      <c r="N47" s="300"/>
      <c r="O47" s="300"/>
      <c r="P47" s="299"/>
      <c r="Q47" s="298"/>
    </row>
    <row r="48" spans="1:17" s="264" customFormat="1" ht="15" customHeight="1">
      <c r="A48" s="297"/>
      <c r="B48" s="298"/>
      <c r="C48" s="298"/>
      <c r="D48" s="13"/>
      <c r="E48" s="13"/>
      <c r="F48" s="294"/>
      <c r="G48" s="13"/>
      <c r="H48" s="294"/>
      <c r="I48" s="13"/>
      <c r="J48" s="13"/>
      <c r="K48" s="13"/>
      <c r="L48" s="13"/>
      <c r="M48" s="13"/>
      <c r="N48" s="13"/>
      <c r="O48" s="13"/>
      <c r="P48" s="299"/>
      <c r="Q48" s="298"/>
    </row>
    <row r="49" spans="1:17" s="264" customFormat="1" ht="15" customHeight="1">
      <c r="A49" s="297"/>
      <c r="B49" s="298"/>
      <c r="C49" s="298"/>
      <c r="D49" s="13"/>
      <c r="E49" s="13"/>
      <c r="F49" s="294"/>
      <c r="G49" s="13"/>
      <c r="H49" s="294"/>
      <c r="I49" s="13"/>
      <c r="J49" s="13"/>
      <c r="K49" s="13"/>
      <c r="L49" s="13"/>
      <c r="M49" s="13"/>
      <c r="N49" s="13"/>
      <c r="O49" s="13"/>
      <c r="P49" s="299"/>
      <c r="Q49" s="298"/>
    </row>
    <row r="50" spans="1:17" s="264" customFormat="1" ht="15" customHeight="1">
      <c r="A50" s="297"/>
      <c r="B50" s="298"/>
      <c r="C50" s="298"/>
      <c r="D50" s="13"/>
      <c r="E50" s="13"/>
      <c r="F50" s="294"/>
      <c r="G50" s="13"/>
      <c r="H50" s="294"/>
      <c r="I50" s="13"/>
      <c r="J50" s="13"/>
      <c r="K50" s="13"/>
      <c r="L50" s="13"/>
      <c r="M50" s="13"/>
      <c r="N50" s="13"/>
      <c r="O50" s="13"/>
      <c r="P50" s="299"/>
      <c r="Q50" s="298"/>
    </row>
    <row r="51" spans="1:17" s="264" customFormat="1" ht="15" customHeight="1">
      <c r="A51" s="297"/>
      <c r="B51" s="298"/>
      <c r="C51" s="298"/>
      <c r="D51" s="13"/>
      <c r="E51" s="13"/>
      <c r="F51" s="294"/>
      <c r="G51" s="13"/>
      <c r="H51" s="294"/>
      <c r="I51" s="13"/>
      <c r="J51" s="13"/>
      <c r="K51" s="13"/>
      <c r="L51" s="13"/>
      <c r="M51" s="13"/>
      <c r="N51" s="13"/>
      <c r="O51" s="13"/>
      <c r="P51" s="299"/>
      <c r="Q51" s="298"/>
    </row>
    <row r="52" spans="1:17" s="264" customFormat="1" ht="15" customHeight="1">
      <c r="A52" s="297"/>
      <c r="B52" s="298"/>
      <c r="C52" s="298"/>
      <c r="D52" s="266"/>
      <c r="E52" s="266"/>
      <c r="F52" s="294"/>
      <c r="G52" s="266"/>
      <c r="H52" s="294"/>
      <c r="I52" s="266"/>
      <c r="J52" s="266"/>
      <c r="K52" s="266"/>
      <c r="L52" s="266"/>
      <c r="M52" s="266"/>
      <c r="N52" s="266"/>
      <c r="O52" s="266"/>
      <c r="P52" s="299"/>
      <c r="Q52" s="298"/>
    </row>
    <row r="53" spans="1:17" s="264" customFormat="1" ht="15" customHeight="1">
      <c r="A53" s="297"/>
      <c r="B53" s="298"/>
      <c r="C53" s="298"/>
      <c r="D53" s="266"/>
      <c r="E53" s="266"/>
      <c r="F53" s="294"/>
      <c r="G53" s="266"/>
      <c r="H53" s="294"/>
      <c r="I53" s="266"/>
      <c r="J53" s="266"/>
      <c r="K53" s="266"/>
      <c r="L53" s="266"/>
      <c r="M53" s="266"/>
      <c r="N53" s="266"/>
      <c r="O53" s="266"/>
      <c r="P53" s="299"/>
      <c r="Q53" s="298"/>
    </row>
    <row r="54" spans="1:17" s="264" customFormat="1" ht="15" customHeight="1">
      <c r="A54" s="297"/>
      <c r="B54" s="298"/>
      <c r="C54" s="298"/>
      <c r="D54" s="266"/>
      <c r="E54" s="266"/>
      <c r="F54" s="294"/>
      <c r="G54" s="266"/>
      <c r="H54" s="294"/>
      <c r="I54" s="266"/>
      <c r="J54" s="266"/>
      <c r="K54" s="266"/>
      <c r="L54" s="266"/>
      <c r="M54" s="266"/>
      <c r="N54" s="266"/>
      <c r="O54" s="266"/>
      <c r="P54" s="299"/>
      <c r="Q54" s="298"/>
    </row>
    <row r="55" spans="1:17" s="264" customFormat="1" ht="15" customHeight="1">
      <c r="A55" s="297"/>
      <c r="B55" s="298"/>
      <c r="C55" s="298"/>
      <c r="D55" s="266"/>
      <c r="E55" s="266"/>
      <c r="F55" s="294"/>
      <c r="G55" s="266"/>
      <c r="H55" s="294"/>
      <c r="I55" s="266"/>
      <c r="J55" s="266"/>
      <c r="K55" s="266"/>
      <c r="L55" s="266"/>
      <c r="M55" s="266"/>
      <c r="N55" s="266"/>
      <c r="O55" s="266"/>
      <c r="P55" s="299"/>
      <c r="Q55" s="298"/>
    </row>
    <row r="56" spans="4:15" ht="15" customHeight="1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4:15" ht="15" customHeight="1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4:15" ht="15" customHeight="1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82" spans="1:3" ht="15" customHeight="1">
      <c r="A82" s="277"/>
      <c r="B82" s="31"/>
      <c r="C82" s="20"/>
    </row>
    <row r="83" spans="1:3" ht="15" customHeight="1">
      <c r="A83" s="277"/>
      <c r="B83" s="31"/>
      <c r="C83" s="20"/>
    </row>
    <row r="84" spans="1:3" ht="15" customHeight="1">
      <c r="A84" s="277"/>
      <c r="B84" s="31"/>
      <c r="C84" s="20"/>
    </row>
    <row r="85" spans="1:3" ht="15" customHeight="1">
      <c r="A85" s="277"/>
      <c r="B85" s="31"/>
      <c r="C85" s="20"/>
    </row>
    <row r="86" spans="1:3" ht="15" customHeight="1">
      <c r="A86" s="277"/>
      <c r="B86" s="31"/>
      <c r="C86" s="20"/>
    </row>
  </sheetData>
  <sheetProtection/>
  <mergeCells count="5">
    <mergeCell ref="A8:A9"/>
    <mergeCell ref="P8:P9"/>
    <mergeCell ref="Q8:Q9"/>
    <mergeCell ref="B8:C8"/>
    <mergeCell ref="D8:M8"/>
  </mergeCells>
  <printOptions horizontalCentered="1"/>
  <pageMargins left="0" right="0" top="0.4330708661417323" bottom="0.2755905511811024" header="0.2755905511811024" footer="0.3937007874015748"/>
  <pageSetup fitToHeight="0" horizontalDpi="600" verticalDpi="600" orientation="landscape" paperSize="9" scale="54" r:id="rId2"/>
  <headerFooter scaleWithDoc="0">
    <oddFooter>&amp;L&amp;8Publicação: Diário Oficial do Município nº 58
Data: 24.03.2021&amp;R&amp;8&amp;P / &amp;N</oddFooter>
  </headerFooter>
  <ignoredErrors>
    <ignoredError sqref="P22 P18 P32" formula="1"/>
    <ignoredError sqref="P17 P21 P23:P26 P29 P31 P33 P3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O189"/>
  <sheetViews>
    <sheetView showGridLines="0" view="pageBreakPreview" zoomScaleSheetLayoutView="100" zoomScalePageLayoutView="0" workbookViewId="0" topLeftCell="A1">
      <selection activeCell="A48" sqref="A48:J48"/>
    </sheetView>
  </sheetViews>
  <sheetFormatPr defaultColWidth="4.140625" defaultRowHeight="12.75"/>
  <cols>
    <col min="1" max="1" width="53.421875" style="22" customWidth="1"/>
    <col min="2" max="2" width="17.421875" style="31" customWidth="1"/>
    <col min="3" max="3" width="18.00390625" style="31" customWidth="1"/>
    <col min="4" max="4" width="10.421875" style="31" customWidth="1"/>
    <col min="5" max="5" width="7.140625" style="31" customWidth="1"/>
    <col min="6" max="6" width="18.00390625" style="31" customWidth="1"/>
    <col min="7" max="7" width="17.8515625" style="31" customWidth="1"/>
    <col min="8" max="8" width="18.28125" style="31" customWidth="1"/>
    <col min="9" max="9" width="21.8515625" style="31" customWidth="1"/>
    <col min="10" max="10" width="22.8515625" style="31" customWidth="1"/>
    <col min="11" max="11" width="4.140625" style="21" customWidth="1"/>
    <col min="12" max="12" width="16.28125" style="21" customWidth="1"/>
    <col min="13" max="16384" width="4.140625" style="21" customWidth="1"/>
  </cols>
  <sheetData>
    <row r="1" spans="1:10" s="250" customFormat="1" ht="12" customHeight="1">
      <c r="A1" s="345" t="s">
        <v>322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s="250" customFormat="1" ht="12" customHeight="1">
      <c r="A2" s="345" t="s">
        <v>323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 s="250" customFormat="1" ht="12" customHeight="1">
      <c r="A3" s="716" t="s">
        <v>327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0" s="250" customFormat="1" ht="12" customHeight="1">
      <c r="A4" s="345" t="s">
        <v>324</v>
      </c>
      <c r="B4" s="371"/>
      <c r="C4" s="371"/>
      <c r="D4" s="371"/>
      <c r="E4" s="371"/>
      <c r="F4" s="371"/>
      <c r="G4" s="371"/>
      <c r="H4" s="371"/>
      <c r="I4" s="371"/>
      <c r="J4" s="371"/>
    </row>
    <row r="5" spans="1:11" s="347" customFormat="1" ht="15.75" customHeight="1">
      <c r="A5" s="346" t="str">
        <f>'Anexo 3 _ RCL'!A5</f>
        <v>            Referência: JANEIRO-FEVEREIRO/2021; BIMESTRE: JANEIRO-FEVEREIRO/2021</v>
      </c>
      <c r="B5" s="406"/>
      <c r="C5" s="406"/>
      <c r="D5" s="406"/>
      <c r="E5" s="344"/>
      <c r="F5" s="344"/>
      <c r="G5" s="344"/>
      <c r="H5" s="344"/>
      <c r="I5" s="344"/>
      <c r="J5" s="344"/>
      <c r="K5" s="344"/>
    </row>
    <row r="6" spans="1:10" s="250" customFormat="1" ht="12.75" customHeight="1">
      <c r="A6" s="348"/>
      <c r="B6" s="349"/>
      <c r="C6" s="349"/>
      <c r="D6" s="349"/>
      <c r="E6" s="349"/>
      <c r="F6" s="349"/>
      <c r="G6" s="350"/>
      <c r="H6" s="350"/>
      <c r="I6" s="349"/>
      <c r="J6" s="246"/>
    </row>
    <row r="7" spans="1:10" s="250" customFormat="1" ht="12.75" customHeight="1">
      <c r="A7" s="351" t="s">
        <v>330</v>
      </c>
      <c r="B7" s="246"/>
      <c r="C7" s="352"/>
      <c r="D7" s="248"/>
      <c r="E7" s="1624"/>
      <c r="F7" s="1624"/>
      <c r="G7" s="1625"/>
      <c r="H7" s="737"/>
      <c r="I7" s="1626"/>
      <c r="J7" s="1626"/>
    </row>
    <row r="8" spans="1:10" s="250" customFormat="1" ht="20.25" customHeight="1">
      <c r="A8" s="1627" t="s">
        <v>695</v>
      </c>
      <c r="B8" s="1627"/>
      <c r="C8" s="1627"/>
      <c r="D8" s="1627"/>
      <c r="E8" s="1627"/>
      <c r="F8" s="1627"/>
      <c r="G8" s="1627"/>
      <c r="H8" s="1627"/>
      <c r="I8" s="1627"/>
      <c r="J8" s="1627"/>
    </row>
    <row r="9" spans="1:10" s="250" customFormat="1" ht="17.25" customHeight="1">
      <c r="A9" s="1558" t="s">
        <v>713</v>
      </c>
      <c r="B9" s="1559"/>
      <c r="C9" s="1559"/>
      <c r="D9" s="1559"/>
      <c r="E9" s="1559"/>
      <c r="F9" s="1559"/>
      <c r="G9" s="1559"/>
      <c r="H9" s="1559"/>
      <c r="I9" s="1559"/>
      <c r="J9" s="1560"/>
    </row>
    <row r="10" spans="1:10" s="250" customFormat="1" ht="18" customHeight="1">
      <c r="A10" s="1564" t="s">
        <v>714</v>
      </c>
      <c r="B10" s="1566" t="s">
        <v>555</v>
      </c>
      <c r="C10" s="1592"/>
      <c r="D10" s="1566" t="s">
        <v>699</v>
      </c>
      <c r="E10" s="1543"/>
      <c r="F10" s="1543"/>
      <c r="G10" s="1543"/>
      <c r="H10" s="1543"/>
      <c r="I10" s="1543"/>
      <c r="J10" s="1546"/>
    </row>
    <row r="11" spans="1:10" s="250" customFormat="1" ht="28.5" customHeight="1">
      <c r="A11" s="1591"/>
      <c r="B11" s="1593"/>
      <c r="C11" s="1594"/>
      <c r="D11" s="1593" t="s">
        <v>753</v>
      </c>
      <c r="E11" s="1595"/>
      <c r="F11" s="1595"/>
      <c r="G11" s="1595"/>
      <c r="H11" s="1595"/>
      <c r="I11" s="1595"/>
      <c r="J11" s="1596"/>
    </row>
    <row r="12" spans="1:10" s="343" customFormat="1" ht="19.5" customHeight="1">
      <c r="A12" s="875" t="s">
        <v>138</v>
      </c>
      <c r="B12" s="1526">
        <f>B13+B17+B21+B25+B26</f>
        <v>92165067.02</v>
      </c>
      <c r="C12" s="1528"/>
      <c r="D12" s="1526">
        <f>D13+D17+D21+D25+D26</f>
        <v>7747834.83</v>
      </c>
      <c r="E12" s="1527"/>
      <c r="F12" s="1527"/>
      <c r="G12" s="1527"/>
      <c r="H12" s="1527"/>
      <c r="I12" s="1527"/>
      <c r="J12" s="1584"/>
    </row>
    <row r="13" spans="1:12" s="343" customFormat="1" ht="19.5" customHeight="1">
      <c r="A13" s="875" t="s">
        <v>354</v>
      </c>
      <c r="B13" s="1511">
        <f>B14+C15+C16</f>
        <v>32298895.02</v>
      </c>
      <c r="C13" s="1512"/>
      <c r="D13" s="1511">
        <f>D14+D15+D16</f>
        <v>3948075.22</v>
      </c>
      <c r="E13" s="1619"/>
      <c r="F13" s="1619"/>
      <c r="G13" s="1619"/>
      <c r="H13" s="1619"/>
      <c r="I13" s="1619"/>
      <c r="J13" s="1620"/>
      <c r="L13" s="353"/>
    </row>
    <row r="14" spans="1:10" s="250" customFormat="1" ht="18.75" customHeight="1">
      <c r="A14" s="876" t="s">
        <v>355</v>
      </c>
      <c r="B14" s="1513">
        <v>32298895.02</v>
      </c>
      <c r="C14" s="1514"/>
      <c r="D14" s="1581">
        <v>3948075.22</v>
      </c>
      <c r="E14" s="1582"/>
      <c r="F14" s="1582"/>
      <c r="G14" s="1582"/>
      <c r="H14" s="1582"/>
      <c r="I14" s="1582"/>
      <c r="J14" s="1583"/>
    </row>
    <row r="15" spans="1:12" s="250" customFormat="1" ht="18.75" customHeight="1">
      <c r="A15" s="876" t="s">
        <v>356</v>
      </c>
      <c r="B15" s="1513"/>
      <c r="C15" s="1514"/>
      <c r="D15" s="1581"/>
      <c r="E15" s="1582"/>
      <c r="F15" s="1582"/>
      <c r="G15" s="1582"/>
      <c r="H15" s="1582"/>
      <c r="I15" s="1582"/>
      <c r="J15" s="1583"/>
      <c r="L15" s="354"/>
    </row>
    <row r="16" spans="1:10" s="250" customFormat="1" ht="18.75" customHeight="1">
      <c r="A16" s="876" t="s">
        <v>357</v>
      </c>
      <c r="B16" s="1513"/>
      <c r="C16" s="1514"/>
      <c r="D16" s="1581"/>
      <c r="E16" s="1582"/>
      <c r="F16" s="1582"/>
      <c r="G16" s="1582"/>
      <c r="H16" s="1582"/>
      <c r="I16" s="1582"/>
      <c r="J16" s="1583"/>
    </row>
    <row r="17" spans="1:10" s="250" customFormat="1" ht="19.5" customHeight="1">
      <c r="A17" s="875" t="s">
        <v>358</v>
      </c>
      <c r="B17" s="1511">
        <f>B18+C19+C20</f>
        <v>20678471</v>
      </c>
      <c r="C17" s="1512"/>
      <c r="D17" s="1511">
        <f>D18+D19+D20</f>
        <v>3141134.17</v>
      </c>
      <c r="E17" s="1619"/>
      <c r="F17" s="1619"/>
      <c r="G17" s="1619"/>
      <c r="H17" s="1619"/>
      <c r="I17" s="1619"/>
      <c r="J17" s="1620"/>
    </row>
    <row r="18" spans="1:10" s="250" customFormat="1" ht="19.5" customHeight="1">
      <c r="A18" s="876" t="s">
        <v>355</v>
      </c>
      <c r="B18" s="1513">
        <v>20678471</v>
      </c>
      <c r="C18" s="1514"/>
      <c r="D18" s="1581">
        <v>3141134.17</v>
      </c>
      <c r="E18" s="1582"/>
      <c r="F18" s="1582"/>
      <c r="G18" s="1582"/>
      <c r="H18" s="1582"/>
      <c r="I18" s="1582"/>
      <c r="J18" s="1583"/>
    </row>
    <row r="19" spans="1:10" s="250" customFormat="1" ht="18.75" customHeight="1">
      <c r="A19" s="876" t="s">
        <v>356</v>
      </c>
      <c r="B19" s="1513"/>
      <c r="C19" s="1514"/>
      <c r="D19" s="1581"/>
      <c r="E19" s="1582"/>
      <c r="F19" s="1582"/>
      <c r="G19" s="1582"/>
      <c r="H19" s="1582"/>
      <c r="I19" s="1582"/>
      <c r="J19" s="1583"/>
    </row>
    <row r="20" spans="1:10" s="250" customFormat="1" ht="19.5" customHeight="1">
      <c r="A20" s="876" t="s">
        <v>357</v>
      </c>
      <c r="B20" s="1513"/>
      <c r="C20" s="1514"/>
      <c r="D20" s="1581"/>
      <c r="E20" s="1582"/>
      <c r="F20" s="1582"/>
      <c r="G20" s="1582"/>
      <c r="H20" s="1582"/>
      <c r="I20" s="1582"/>
      <c r="J20" s="1583"/>
    </row>
    <row r="21" spans="1:10" s="343" customFormat="1" ht="19.5" customHeight="1">
      <c r="A21" s="875" t="s">
        <v>139</v>
      </c>
      <c r="B21" s="1511">
        <f>B22+C23+C24</f>
        <v>39187701</v>
      </c>
      <c r="C21" s="1512"/>
      <c r="D21" s="1526">
        <f>D22+D23+D24</f>
        <v>658625.44</v>
      </c>
      <c r="E21" s="1527"/>
      <c r="F21" s="1527"/>
      <c r="G21" s="1527"/>
      <c r="H21" s="1527"/>
      <c r="I21" s="1527"/>
      <c r="J21" s="1584"/>
    </row>
    <row r="22" spans="1:10" s="250" customFormat="1" ht="19.5" customHeight="1">
      <c r="A22" s="877" t="s">
        <v>12</v>
      </c>
      <c r="B22" s="1513"/>
      <c r="C22" s="1514"/>
      <c r="D22" s="1581"/>
      <c r="E22" s="1582"/>
      <c r="F22" s="1582"/>
      <c r="G22" s="1582"/>
      <c r="H22" s="1582"/>
      <c r="I22" s="1582"/>
      <c r="J22" s="1583"/>
    </row>
    <row r="23" spans="1:10" s="250" customFormat="1" ht="19.5" customHeight="1">
      <c r="A23" s="877" t="s">
        <v>13</v>
      </c>
      <c r="B23" s="1513">
        <v>39187701</v>
      </c>
      <c r="C23" s="1514">
        <f>B23</f>
        <v>39187701</v>
      </c>
      <c r="D23" s="1581">
        <v>658625.44</v>
      </c>
      <c r="E23" s="1582"/>
      <c r="F23" s="1582"/>
      <c r="G23" s="1582"/>
      <c r="H23" s="1582"/>
      <c r="I23" s="1582"/>
      <c r="J23" s="1583"/>
    </row>
    <row r="24" spans="1:10" s="250" customFormat="1" ht="19.5" customHeight="1">
      <c r="A24" s="877" t="s">
        <v>14</v>
      </c>
      <c r="B24" s="1513"/>
      <c r="C24" s="1514">
        <f>B24</f>
        <v>0</v>
      </c>
      <c r="D24" s="1581"/>
      <c r="E24" s="1582"/>
      <c r="F24" s="1582"/>
      <c r="G24" s="1582"/>
      <c r="H24" s="1582"/>
      <c r="I24" s="1582"/>
      <c r="J24" s="1583"/>
    </row>
    <row r="25" spans="1:10" s="250" customFormat="1" ht="19.5" customHeight="1">
      <c r="A25" s="875" t="s">
        <v>16</v>
      </c>
      <c r="B25" s="1513"/>
      <c r="C25" s="1514"/>
      <c r="D25" s="1581"/>
      <c r="E25" s="1582"/>
      <c r="F25" s="1582"/>
      <c r="G25" s="1582"/>
      <c r="H25" s="1582"/>
      <c r="I25" s="1582"/>
      <c r="J25" s="1583"/>
    </row>
    <row r="26" spans="1:10" s="343" customFormat="1" ht="19.5" customHeight="1">
      <c r="A26" s="875" t="s">
        <v>141</v>
      </c>
      <c r="B26" s="1511">
        <f>B27+B28+C29</f>
        <v>0</v>
      </c>
      <c r="C26" s="1512"/>
      <c r="D26" s="1526">
        <f>D27+D28+D29</f>
        <v>0</v>
      </c>
      <c r="E26" s="1527"/>
      <c r="F26" s="1527"/>
      <c r="G26" s="1527"/>
      <c r="H26" s="1527"/>
      <c r="I26" s="1527"/>
      <c r="J26" s="1584"/>
    </row>
    <row r="27" spans="1:10" s="250" customFormat="1" ht="19.5" customHeight="1">
      <c r="A27" s="877" t="s">
        <v>696</v>
      </c>
      <c r="B27" s="1513"/>
      <c r="C27" s="1514"/>
      <c r="D27" s="1581"/>
      <c r="E27" s="1582"/>
      <c r="F27" s="1582"/>
      <c r="G27" s="1582"/>
      <c r="H27" s="1582"/>
      <c r="I27" s="1582"/>
      <c r="J27" s="1583"/>
    </row>
    <row r="28" spans="1:10" s="250" customFormat="1" ht="28.5" customHeight="1">
      <c r="A28" s="1146" t="s">
        <v>697</v>
      </c>
      <c r="B28" s="1513"/>
      <c r="C28" s="1514"/>
      <c r="D28" s="1581"/>
      <c r="E28" s="1582"/>
      <c r="F28" s="1582"/>
      <c r="G28" s="1582"/>
      <c r="H28" s="1582"/>
      <c r="I28" s="1582"/>
      <c r="J28" s="1583"/>
    </row>
    <row r="29" spans="1:10" s="250" customFormat="1" ht="19.5" customHeight="1">
      <c r="A29" s="878" t="s">
        <v>370</v>
      </c>
      <c r="B29" s="1513"/>
      <c r="C29" s="1514"/>
      <c r="D29" s="1581"/>
      <c r="E29" s="1582"/>
      <c r="F29" s="1582"/>
      <c r="G29" s="1582"/>
      <c r="H29" s="1582"/>
      <c r="I29" s="1582"/>
      <c r="J29" s="1583"/>
    </row>
    <row r="30" spans="1:10" s="343" customFormat="1" ht="19.5" customHeight="1">
      <c r="A30" s="808" t="s">
        <v>371</v>
      </c>
      <c r="B30" s="1511">
        <f>C31+C32+C33</f>
        <v>0</v>
      </c>
      <c r="C30" s="1512"/>
      <c r="D30" s="1581">
        <f>D31+D32+D33</f>
        <v>0</v>
      </c>
      <c r="E30" s="1582"/>
      <c r="F30" s="1582"/>
      <c r="G30" s="1582"/>
      <c r="H30" s="1582"/>
      <c r="I30" s="1582"/>
      <c r="J30" s="1583"/>
    </row>
    <row r="31" spans="1:10" s="250" customFormat="1" ht="19.5" customHeight="1">
      <c r="A31" s="878" t="s">
        <v>146</v>
      </c>
      <c r="B31" s="1513"/>
      <c r="C31" s="1514"/>
      <c r="D31" s="1581"/>
      <c r="E31" s="1582"/>
      <c r="F31" s="1582"/>
      <c r="G31" s="1582"/>
      <c r="H31" s="1582"/>
      <c r="I31" s="1582"/>
      <c r="J31" s="1583"/>
    </row>
    <row r="32" spans="1:10" s="250" customFormat="1" ht="19.5" customHeight="1">
      <c r="A32" s="878" t="s">
        <v>147</v>
      </c>
      <c r="B32" s="1513"/>
      <c r="C32" s="1514"/>
      <c r="D32" s="1581"/>
      <c r="E32" s="1582"/>
      <c r="F32" s="1582"/>
      <c r="G32" s="1582"/>
      <c r="H32" s="1582"/>
      <c r="I32" s="1582"/>
      <c r="J32" s="1583"/>
    </row>
    <row r="33" spans="1:10" s="250" customFormat="1" ht="19.5" customHeight="1">
      <c r="A33" s="878" t="s">
        <v>148</v>
      </c>
      <c r="B33" s="1513"/>
      <c r="C33" s="1514"/>
      <c r="D33" s="1581"/>
      <c r="E33" s="1582"/>
      <c r="F33" s="1582"/>
      <c r="G33" s="1582"/>
      <c r="H33" s="1582"/>
      <c r="I33" s="1582"/>
      <c r="J33" s="1583"/>
    </row>
    <row r="34" spans="1:12" s="250" customFormat="1" ht="30" customHeight="1">
      <c r="A34" s="1147" t="s">
        <v>698</v>
      </c>
      <c r="B34" s="1511">
        <f>B12+B30-B28</f>
        <v>92165067.02</v>
      </c>
      <c r="C34" s="1512"/>
      <c r="D34" s="1511">
        <f>D12+D30-D28</f>
        <v>7747834.83</v>
      </c>
      <c r="E34" s="1619"/>
      <c r="F34" s="1619"/>
      <c r="G34" s="1619"/>
      <c r="H34" s="1619"/>
      <c r="I34" s="1619"/>
      <c r="J34" s="1620"/>
      <c r="L34" s="355"/>
    </row>
    <row r="35" spans="1:10" s="250" customFormat="1" ht="8.25" customHeight="1">
      <c r="A35" s="351"/>
      <c r="B35" s="244"/>
      <c r="C35" s="244"/>
      <c r="D35" s="244"/>
      <c r="E35" s="244"/>
      <c r="F35" s="244"/>
      <c r="G35" s="244"/>
      <c r="H35" s="367"/>
      <c r="I35" s="367"/>
      <c r="J35" s="367"/>
    </row>
    <row r="36" spans="1:10" s="250" customFormat="1" ht="27.75" customHeight="1">
      <c r="A36" s="1568" t="s">
        <v>700</v>
      </c>
      <c r="B36" s="1569" t="s">
        <v>569</v>
      </c>
      <c r="C36" s="1645"/>
      <c r="D36" s="1575" t="s">
        <v>242</v>
      </c>
      <c r="E36" s="1576"/>
      <c r="F36" s="1576"/>
      <c r="G36" s="1575" t="s">
        <v>156</v>
      </c>
      <c r="H36" s="1579"/>
      <c r="I36" s="1005" t="s">
        <v>570</v>
      </c>
      <c r="J36" s="1159" t="s">
        <v>720</v>
      </c>
    </row>
    <row r="37" spans="1:10" s="250" customFormat="1" ht="6.75" customHeight="1">
      <c r="A37" s="1568"/>
      <c r="B37" s="1571"/>
      <c r="C37" s="1646"/>
      <c r="D37" s="1577"/>
      <c r="E37" s="1578"/>
      <c r="F37" s="1578"/>
      <c r="G37" s="1577"/>
      <c r="H37" s="1580"/>
      <c r="I37" s="1160"/>
      <c r="J37" s="1162"/>
    </row>
    <row r="38" spans="1:10" s="250" customFormat="1" ht="34.5" customHeight="1">
      <c r="A38" s="1568"/>
      <c r="B38" s="1573"/>
      <c r="C38" s="1647"/>
      <c r="D38" s="1522" t="s">
        <v>718</v>
      </c>
      <c r="E38" s="1523"/>
      <c r="F38" s="1523"/>
      <c r="G38" s="1524" t="s">
        <v>719</v>
      </c>
      <c r="H38" s="1525"/>
      <c r="I38" s="1161" t="s">
        <v>721</v>
      </c>
      <c r="J38" s="1207" t="s">
        <v>949</v>
      </c>
    </row>
    <row r="39" spans="1:12" s="343" customFormat="1" ht="19.5" customHeight="1">
      <c r="A39" s="808" t="s">
        <v>701</v>
      </c>
      <c r="B39" s="1511">
        <f>B40+B41</f>
        <v>0</v>
      </c>
      <c r="C39" s="1512"/>
      <c r="D39" s="1561">
        <f>D40+D41</f>
        <v>0</v>
      </c>
      <c r="E39" s="1562"/>
      <c r="F39" s="1563"/>
      <c r="G39" s="1561">
        <f>G40+G41</f>
        <v>0</v>
      </c>
      <c r="H39" s="1563"/>
      <c r="I39" s="356">
        <f>I40+I41</f>
        <v>0</v>
      </c>
      <c r="J39" s="1158">
        <f>J40+J41</f>
        <v>0</v>
      </c>
      <c r="L39" s="357"/>
    </row>
    <row r="40" spans="1:10" s="250" customFormat="1" ht="19.5" customHeight="1">
      <c r="A40" s="880" t="s">
        <v>152</v>
      </c>
      <c r="B40" s="1513"/>
      <c r="C40" s="1514"/>
      <c r="D40" s="1585"/>
      <c r="E40" s="1586"/>
      <c r="F40" s="1587"/>
      <c r="G40" s="1585"/>
      <c r="H40" s="1587"/>
      <c r="I40" s="358"/>
      <c r="J40" s="888"/>
    </row>
    <row r="41" spans="1:10" s="250" customFormat="1" ht="19.5" customHeight="1">
      <c r="A41" s="880" t="s">
        <v>702</v>
      </c>
      <c r="B41" s="1513"/>
      <c r="C41" s="1514"/>
      <c r="D41" s="1585"/>
      <c r="E41" s="1586"/>
      <c r="F41" s="1587"/>
      <c r="G41" s="1585"/>
      <c r="H41" s="1587"/>
      <c r="I41" s="358"/>
      <c r="J41" s="888"/>
    </row>
    <row r="42" spans="1:10" s="343" customFormat="1" ht="19.5" customHeight="1">
      <c r="A42" s="879" t="s">
        <v>703</v>
      </c>
      <c r="B42" s="1511">
        <f>B43+B44</f>
        <v>0</v>
      </c>
      <c r="C42" s="1512"/>
      <c r="D42" s="1526">
        <f>D43+D44</f>
        <v>0</v>
      </c>
      <c r="E42" s="1527"/>
      <c r="F42" s="1528"/>
      <c r="G42" s="1526">
        <f>G43+G44</f>
        <v>0</v>
      </c>
      <c r="H42" s="1528"/>
      <c r="I42" s="356">
        <f>I43+I44</f>
        <v>0</v>
      </c>
      <c r="J42" s="887">
        <f>J43+J44</f>
        <v>0</v>
      </c>
    </row>
    <row r="43" spans="1:10" s="343" customFormat="1" ht="19.5" customHeight="1">
      <c r="A43" s="880" t="s">
        <v>696</v>
      </c>
      <c r="B43" s="1511"/>
      <c r="C43" s="1512"/>
      <c r="D43" s="1526"/>
      <c r="E43" s="1527"/>
      <c r="F43" s="1528"/>
      <c r="G43" s="1526"/>
      <c r="H43" s="1528"/>
      <c r="I43" s="356"/>
      <c r="J43" s="887"/>
    </row>
    <row r="44" spans="1:10" s="250" customFormat="1" ht="19.5" customHeight="1">
      <c r="A44" s="880" t="s">
        <v>704</v>
      </c>
      <c r="B44" s="1513"/>
      <c r="C44" s="1514"/>
      <c r="D44" s="1526"/>
      <c r="E44" s="1527"/>
      <c r="F44" s="1528"/>
      <c r="G44" s="1585"/>
      <c r="H44" s="1587"/>
      <c r="I44" s="358"/>
      <c r="J44" s="888"/>
    </row>
    <row r="45" spans="1:10" s="1148" customFormat="1" ht="33.75" customHeight="1">
      <c r="A45" s="1149" t="s">
        <v>705</v>
      </c>
      <c r="B45" s="1613">
        <f>B39+B42</f>
        <v>0</v>
      </c>
      <c r="C45" s="1614"/>
      <c r="D45" s="1613">
        <f>D39+D42</f>
        <v>0</v>
      </c>
      <c r="E45" s="1615"/>
      <c r="F45" s="1614"/>
      <c r="G45" s="1613">
        <f>G39+G42</f>
        <v>0</v>
      </c>
      <c r="H45" s="1614"/>
      <c r="I45" s="1163">
        <f>I39+I42</f>
        <v>0</v>
      </c>
      <c r="J45" s="1164">
        <f>J39+J42</f>
        <v>0</v>
      </c>
    </row>
    <row r="46" spans="1:10" s="250" customFormat="1" ht="17.25" customHeight="1">
      <c r="A46" s="1508"/>
      <c r="B46" s="1509"/>
      <c r="C46" s="1509"/>
      <c r="D46" s="1509"/>
      <c r="E46" s="1509"/>
      <c r="F46" s="1509"/>
      <c r="G46" s="1509"/>
      <c r="H46" s="1509"/>
      <c r="I46" s="1509"/>
      <c r="J46" s="1510"/>
    </row>
    <row r="47" spans="1:10" s="250" customFormat="1" ht="30.75" customHeight="1">
      <c r="A47" s="1152" t="s">
        <v>706</v>
      </c>
      <c r="B47" s="1628">
        <f>B34-B45</f>
        <v>92165067.02</v>
      </c>
      <c r="C47" s="1629"/>
      <c r="D47" s="1616">
        <f>D34-D45</f>
        <v>7747834.83</v>
      </c>
      <c r="E47" s="1617"/>
      <c r="F47" s="1618"/>
      <c r="G47" s="1616">
        <f>D34-G45</f>
        <v>7747834.83</v>
      </c>
      <c r="H47" s="1618"/>
      <c r="I47" s="1150">
        <f>D34-I45</f>
        <v>7747834.83</v>
      </c>
      <c r="J47" s="1165">
        <v>0</v>
      </c>
    </row>
    <row r="48" spans="1:12" s="343" customFormat="1" ht="17.25" customHeight="1">
      <c r="A48" s="1508"/>
      <c r="B48" s="1509"/>
      <c r="C48" s="1509"/>
      <c r="D48" s="1509"/>
      <c r="E48" s="1509"/>
      <c r="F48" s="1509"/>
      <c r="G48" s="1509"/>
      <c r="H48" s="1509"/>
      <c r="I48" s="1509"/>
      <c r="J48" s="1510"/>
      <c r="L48" s="353"/>
    </row>
    <row r="49" spans="1:10" s="343" customFormat="1" ht="30" customHeight="1">
      <c r="A49" s="1147" t="s">
        <v>707</v>
      </c>
      <c r="B49" s="1526" t="s">
        <v>422</v>
      </c>
      <c r="C49" s="1527"/>
      <c r="D49" s="1527"/>
      <c r="E49" s="1527"/>
      <c r="F49" s="1527"/>
      <c r="G49" s="1527"/>
      <c r="H49" s="1527"/>
      <c r="I49" s="1527"/>
      <c r="J49" s="1584"/>
    </row>
    <row r="50" spans="1:10" s="250" customFormat="1" ht="19.5" customHeight="1">
      <c r="A50" s="881" t="s">
        <v>160</v>
      </c>
      <c r="B50" s="1513"/>
      <c r="C50" s="1611"/>
      <c r="D50" s="1611"/>
      <c r="E50" s="1611"/>
      <c r="F50" s="1611"/>
      <c r="G50" s="1611"/>
      <c r="H50" s="1611"/>
      <c r="I50" s="1611"/>
      <c r="J50" s="1612"/>
    </row>
    <row r="51" spans="1:10" s="250" customFormat="1" ht="9" customHeight="1">
      <c r="A51" s="1597"/>
      <c r="B51" s="1598"/>
      <c r="C51" s="1598"/>
      <c r="D51" s="1598"/>
      <c r="E51" s="1598"/>
      <c r="F51" s="1598"/>
      <c r="G51" s="1598"/>
      <c r="H51" s="1598"/>
      <c r="I51" s="1598"/>
      <c r="J51" s="1599"/>
    </row>
    <row r="52" spans="1:10" s="343" customFormat="1" ht="19.5" customHeight="1">
      <c r="A52" s="882" t="s">
        <v>159</v>
      </c>
      <c r="B52" s="1526" t="s">
        <v>422</v>
      </c>
      <c r="C52" s="1527"/>
      <c r="D52" s="1527"/>
      <c r="E52" s="1527"/>
      <c r="F52" s="1527"/>
      <c r="G52" s="1527"/>
      <c r="H52" s="1527"/>
      <c r="I52" s="1527"/>
      <c r="J52" s="1584"/>
    </row>
    <row r="53" spans="1:10" s="343" customFormat="1" ht="15.75" customHeight="1">
      <c r="A53" s="1151" t="s">
        <v>708</v>
      </c>
      <c r="B53" s="1600">
        <v>82308544</v>
      </c>
      <c r="C53" s="1601"/>
      <c r="D53" s="1601"/>
      <c r="E53" s="1601"/>
      <c r="F53" s="1601"/>
      <c r="G53" s="1601"/>
      <c r="H53" s="1601"/>
      <c r="I53" s="1601"/>
      <c r="J53" s="1602"/>
    </row>
    <row r="54" spans="1:10" s="250" customFormat="1" ht="7.5" customHeight="1">
      <c r="A54" s="883"/>
      <c r="B54" s="359"/>
      <c r="C54" s="360"/>
      <c r="D54" s="361"/>
      <c r="E54" s="361"/>
      <c r="F54" s="361"/>
      <c r="G54" s="361"/>
      <c r="H54" s="361"/>
      <c r="I54" s="362"/>
      <c r="J54" s="363"/>
    </row>
    <row r="55" spans="1:10" s="247" customFormat="1" ht="16.5" customHeight="1">
      <c r="A55" s="1603" t="s">
        <v>709</v>
      </c>
      <c r="B55" s="1630" t="s">
        <v>291</v>
      </c>
      <c r="C55" s="1630"/>
      <c r="D55" s="1630"/>
      <c r="E55" s="1630"/>
      <c r="F55" s="1630"/>
      <c r="G55" s="1630"/>
      <c r="H55" s="1630"/>
      <c r="I55" s="1630"/>
      <c r="J55" s="1630"/>
    </row>
    <row r="56" spans="1:10" s="247" customFormat="1" ht="15.75" customHeight="1">
      <c r="A56" s="1603"/>
      <c r="B56" s="1630"/>
      <c r="C56" s="1630"/>
      <c r="D56" s="1630"/>
      <c r="E56" s="1630"/>
      <c r="F56" s="1630"/>
      <c r="G56" s="1630"/>
      <c r="H56" s="1630"/>
      <c r="I56" s="1630"/>
      <c r="J56" s="1630"/>
    </row>
    <row r="57" spans="1:10" s="247" customFormat="1" ht="16.5" customHeight="1" hidden="1">
      <c r="A57" s="1603"/>
      <c r="B57" s="1630"/>
      <c r="C57" s="1630"/>
      <c r="D57" s="1630"/>
      <c r="E57" s="1630"/>
      <c r="F57" s="1630"/>
      <c r="G57" s="1630"/>
      <c r="H57" s="1630"/>
      <c r="I57" s="1630"/>
      <c r="J57" s="1630"/>
    </row>
    <row r="58" spans="1:10" s="247" customFormat="1" ht="15">
      <c r="A58" s="1154" t="s">
        <v>359</v>
      </c>
      <c r="B58" s="1539"/>
      <c r="C58" s="1539"/>
      <c r="D58" s="1539"/>
      <c r="E58" s="1539"/>
      <c r="F58" s="1539"/>
      <c r="G58" s="1539"/>
      <c r="H58" s="1539"/>
      <c r="I58" s="1539"/>
      <c r="J58" s="1540"/>
    </row>
    <row r="59" spans="1:10" s="247" customFormat="1" ht="15">
      <c r="A59" s="1154" t="s">
        <v>360</v>
      </c>
      <c r="B59" s="1539"/>
      <c r="C59" s="1539"/>
      <c r="D59" s="1539"/>
      <c r="E59" s="1539"/>
      <c r="F59" s="1539"/>
      <c r="G59" s="1539"/>
      <c r="H59" s="1539"/>
      <c r="I59" s="1539"/>
      <c r="J59" s="1540"/>
    </row>
    <row r="60" spans="1:10" s="247" customFormat="1" ht="15">
      <c r="A60" s="1155" t="s">
        <v>361</v>
      </c>
      <c r="B60" s="1539"/>
      <c r="C60" s="1539"/>
      <c r="D60" s="1539"/>
      <c r="E60" s="1539"/>
      <c r="F60" s="1539"/>
      <c r="G60" s="1539"/>
      <c r="H60" s="1539"/>
      <c r="I60" s="1539"/>
      <c r="J60" s="1540"/>
    </row>
    <row r="61" spans="1:10" s="247" customFormat="1" ht="15">
      <c r="A61" s="1156" t="s">
        <v>362</v>
      </c>
      <c r="B61" s="1604"/>
      <c r="C61" s="1604"/>
      <c r="D61" s="1604"/>
      <c r="E61" s="1604"/>
      <c r="F61" s="1604"/>
      <c r="G61" s="1604"/>
      <c r="H61" s="1604"/>
      <c r="I61" s="1604"/>
      <c r="J61" s="1503"/>
    </row>
    <row r="62" spans="1:10" s="247" customFormat="1" ht="3" customHeight="1">
      <c r="A62" s="884"/>
      <c r="B62" s="359"/>
      <c r="C62" s="360"/>
      <c r="D62" s="360"/>
      <c r="E62" s="360"/>
      <c r="F62" s="360"/>
      <c r="G62" s="360"/>
      <c r="H62" s="360"/>
      <c r="I62" s="360"/>
      <c r="J62" s="889"/>
    </row>
    <row r="63" spans="1:10" s="250" customFormat="1" ht="9.75" customHeight="1">
      <c r="A63" s="885"/>
      <c r="B63" s="349"/>
      <c r="C63" s="349"/>
      <c r="D63" s="349"/>
      <c r="E63" s="349"/>
      <c r="F63" s="349"/>
      <c r="G63" s="349"/>
      <c r="H63" s="349"/>
      <c r="I63" s="349"/>
      <c r="J63" s="890"/>
    </row>
    <row r="64" spans="1:10" s="247" customFormat="1" ht="17.25" customHeight="1">
      <c r="A64" s="1631" t="s">
        <v>711</v>
      </c>
      <c r="B64" s="1605" t="s">
        <v>712</v>
      </c>
      <c r="C64" s="1606"/>
      <c r="D64" s="1606"/>
      <c r="E64" s="1606"/>
      <c r="F64" s="1606"/>
      <c r="G64" s="1606"/>
      <c r="H64" s="1606"/>
      <c r="I64" s="1606"/>
      <c r="J64" s="1607"/>
    </row>
    <row r="65" spans="1:10" s="247" customFormat="1" ht="17.25" customHeight="1">
      <c r="A65" s="1631"/>
      <c r="B65" s="1608"/>
      <c r="C65" s="1609"/>
      <c r="D65" s="1609"/>
      <c r="E65" s="1609"/>
      <c r="F65" s="1609"/>
      <c r="G65" s="1609"/>
      <c r="H65" s="1609"/>
      <c r="I65" s="1609"/>
      <c r="J65" s="1610"/>
    </row>
    <row r="66" spans="1:15" s="247" customFormat="1" ht="20.25" customHeight="1">
      <c r="A66" s="886" t="s">
        <v>710</v>
      </c>
      <c r="B66" s="1588">
        <v>43264842.54</v>
      </c>
      <c r="C66" s="1589"/>
      <c r="D66" s="1589"/>
      <c r="E66" s="1589"/>
      <c r="F66" s="1589"/>
      <c r="G66" s="1589"/>
      <c r="H66" s="1589"/>
      <c r="I66" s="1589"/>
      <c r="J66" s="1590"/>
      <c r="L66" s="1636"/>
      <c r="M66" s="1636"/>
      <c r="N66" s="1636"/>
      <c r="O66" s="1636"/>
    </row>
    <row r="67" spans="1:15" s="247" customFormat="1" ht="21" customHeight="1">
      <c r="A67" s="886" t="s">
        <v>363</v>
      </c>
      <c r="B67" s="1588">
        <v>465883562.55</v>
      </c>
      <c r="C67" s="1589"/>
      <c r="D67" s="1589"/>
      <c r="E67" s="1589"/>
      <c r="F67" s="1589"/>
      <c r="G67" s="1589"/>
      <c r="H67" s="1589"/>
      <c r="I67" s="1589"/>
      <c r="J67" s="1590"/>
      <c r="L67" s="1636"/>
      <c r="M67" s="1636"/>
      <c r="N67" s="1636"/>
      <c r="O67" s="1636"/>
    </row>
    <row r="68" spans="1:15" s="247" customFormat="1" ht="23.25" customHeight="1">
      <c r="A68" s="886" t="s">
        <v>364</v>
      </c>
      <c r="B68" s="1588">
        <v>178697809.59</v>
      </c>
      <c r="C68" s="1589"/>
      <c r="D68" s="1589"/>
      <c r="E68" s="1589"/>
      <c r="F68" s="1589"/>
      <c r="G68" s="1589"/>
      <c r="H68" s="1589"/>
      <c r="I68" s="1589"/>
      <c r="J68" s="1590"/>
      <c r="L68" s="1636"/>
      <c r="M68" s="1636"/>
      <c r="N68" s="1636"/>
      <c r="O68" s="1636"/>
    </row>
    <row r="69" spans="1:15" s="247" customFormat="1" ht="8.25" customHeight="1">
      <c r="A69" s="1168"/>
      <c r="B69" s="1169"/>
      <c r="C69" s="1169"/>
      <c r="D69" s="1169"/>
      <c r="E69" s="1169"/>
      <c r="F69" s="1169"/>
      <c r="G69" s="1169"/>
      <c r="H69" s="1169"/>
      <c r="I69" s="1169"/>
      <c r="J69" s="1170"/>
      <c r="L69" s="968"/>
      <c r="M69" s="968"/>
      <c r="N69" s="968"/>
      <c r="O69" s="968"/>
    </row>
    <row r="70" spans="1:10" s="250" customFormat="1" ht="13.5" customHeight="1">
      <c r="A70" s="348"/>
      <c r="B70" s="349"/>
      <c r="C70" s="349"/>
      <c r="D70" s="349"/>
      <c r="E70" s="349"/>
      <c r="F70" s="349"/>
      <c r="G70" s="349"/>
      <c r="H70" s="349"/>
      <c r="I70" s="349"/>
      <c r="J70" s="890"/>
    </row>
    <row r="71" spans="1:10" s="250" customFormat="1" ht="21" customHeight="1">
      <c r="A71" s="1558" t="s">
        <v>715</v>
      </c>
      <c r="B71" s="1559"/>
      <c r="C71" s="1559"/>
      <c r="D71" s="1559"/>
      <c r="E71" s="1559"/>
      <c r="F71" s="1559"/>
      <c r="G71" s="1559"/>
      <c r="H71" s="1559"/>
      <c r="I71" s="1559"/>
      <c r="J71" s="1560"/>
    </row>
    <row r="72" spans="1:10" s="343" customFormat="1" ht="16.5" customHeight="1">
      <c r="A72" s="1564" t="s">
        <v>716</v>
      </c>
      <c r="B72" s="1566" t="s">
        <v>555</v>
      </c>
      <c r="C72" s="1592"/>
      <c r="D72" s="1566" t="s">
        <v>699</v>
      </c>
      <c r="E72" s="1543"/>
      <c r="F72" s="1543"/>
      <c r="G72" s="1543"/>
      <c r="H72" s="1543"/>
      <c r="I72" s="1543"/>
      <c r="J72" s="1546"/>
    </row>
    <row r="73" spans="1:10" s="250" customFormat="1" ht="31.5" customHeight="1">
      <c r="A73" s="1591"/>
      <c r="B73" s="1593"/>
      <c r="C73" s="1594"/>
      <c r="D73" s="1593" t="s">
        <v>754</v>
      </c>
      <c r="E73" s="1595"/>
      <c r="F73" s="1595"/>
      <c r="G73" s="1595"/>
      <c r="H73" s="1595"/>
      <c r="I73" s="1595"/>
      <c r="J73" s="1596"/>
    </row>
    <row r="74" spans="1:10" s="1117" customFormat="1" ht="18.75" customHeight="1">
      <c r="A74" s="1366" t="s">
        <v>936</v>
      </c>
      <c r="B74" s="1641">
        <f>B75+B79+B83+B88</f>
        <v>130309099</v>
      </c>
      <c r="C74" s="1642"/>
      <c r="D74" s="1641">
        <f>D75+D79+D83+D88</f>
        <v>18040155.979999997</v>
      </c>
      <c r="E74" s="1643"/>
      <c r="F74" s="1643"/>
      <c r="G74" s="1643"/>
      <c r="H74" s="1643"/>
      <c r="I74" s="1643"/>
      <c r="J74" s="1644"/>
    </row>
    <row r="75" spans="1:10" s="250" customFormat="1" ht="16.5" customHeight="1">
      <c r="A75" s="875" t="s">
        <v>354</v>
      </c>
      <c r="B75" s="1511">
        <f>B76+B77+B78</f>
        <v>54276049</v>
      </c>
      <c r="C75" s="1512"/>
      <c r="D75" s="1511">
        <f>D76+D77+D78</f>
        <v>6798000.06</v>
      </c>
      <c r="E75" s="1619"/>
      <c r="F75" s="1619"/>
      <c r="G75" s="1619"/>
      <c r="H75" s="1619"/>
      <c r="I75" s="1619"/>
      <c r="J75" s="1620"/>
    </row>
    <row r="76" spans="1:10" s="250" customFormat="1" ht="17.25" customHeight="1">
      <c r="A76" s="876" t="s">
        <v>355</v>
      </c>
      <c r="B76" s="1513">
        <v>49983219</v>
      </c>
      <c r="C76" s="1514"/>
      <c r="D76" s="1581">
        <v>6503062.67</v>
      </c>
      <c r="E76" s="1582"/>
      <c r="F76" s="1582"/>
      <c r="G76" s="1582"/>
      <c r="H76" s="1582"/>
      <c r="I76" s="1582"/>
      <c r="J76" s="1583"/>
    </row>
    <row r="77" spans="1:10" s="250" customFormat="1" ht="18.75" customHeight="1">
      <c r="A77" s="876" t="s">
        <v>356</v>
      </c>
      <c r="B77" s="1513">
        <v>3354576</v>
      </c>
      <c r="C77" s="1514"/>
      <c r="D77" s="1581">
        <v>204401.85</v>
      </c>
      <c r="E77" s="1582"/>
      <c r="F77" s="1582"/>
      <c r="G77" s="1582"/>
      <c r="H77" s="1582"/>
      <c r="I77" s="1582"/>
      <c r="J77" s="1583"/>
    </row>
    <row r="78" spans="1:10" s="343" customFormat="1" ht="17.25" customHeight="1">
      <c r="A78" s="876" t="s">
        <v>357</v>
      </c>
      <c r="B78" s="1513">
        <v>938254</v>
      </c>
      <c r="C78" s="1514"/>
      <c r="D78" s="1581">
        <v>90535.54</v>
      </c>
      <c r="E78" s="1582"/>
      <c r="F78" s="1582"/>
      <c r="G78" s="1582"/>
      <c r="H78" s="1582"/>
      <c r="I78" s="1582"/>
      <c r="J78" s="1583"/>
    </row>
    <row r="79" spans="1:10" s="250" customFormat="1" ht="19.5" customHeight="1">
      <c r="A79" s="875" t="s">
        <v>358</v>
      </c>
      <c r="B79" s="1511">
        <f>B80+C81+C82</f>
        <v>65278373</v>
      </c>
      <c r="C79" s="1512"/>
      <c r="D79" s="1511">
        <f>D80+D81+D82</f>
        <v>8790461.25</v>
      </c>
      <c r="E79" s="1619"/>
      <c r="F79" s="1619"/>
      <c r="G79" s="1619"/>
      <c r="H79" s="1619"/>
      <c r="I79" s="1619"/>
      <c r="J79" s="1620"/>
    </row>
    <row r="80" spans="1:10" s="250" customFormat="1" ht="17.25" customHeight="1">
      <c r="A80" s="876" t="s">
        <v>355</v>
      </c>
      <c r="B80" s="1513">
        <v>65278373</v>
      </c>
      <c r="C80" s="1514"/>
      <c r="D80" s="1581">
        <v>8790461.25</v>
      </c>
      <c r="E80" s="1582"/>
      <c r="F80" s="1582"/>
      <c r="G80" s="1582"/>
      <c r="H80" s="1582"/>
      <c r="I80" s="1582"/>
      <c r="J80" s="1583"/>
    </row>
    <row r="81" spans="1:10" s="250" customFormat="1" ht="19.5" customHeight="1">
      <c r="A81" s="876" t="s">
        <v>356</v>
      </c>
      <c r="B81" s="1513"/>
      <c r="C81" s="1514"/>
      <c r="D81" s="1581"/>
      <c r="E81" s="1582"/>
      <c r="F81" s="1582"/>
      <c r="G81" s="1582"/>
      <c r="H81" s="1582"/>
      <c r="I81" s="1582"/>
      <c r="J81" s="1583"/>
    </row>
    <row r="82" spans="1:10" s="250" customFormat="1" ht="19.5" customHeight="1">
      <c r="A82" s="876" t="s">
        <v>357</v>
      </c>
      <c r="B82" s="1513"/>
      <c r="C82" s="1514"/>
      <c r="D82" s="1581"/>
      <c r="E82" s="1582"/>
      <c r="F82" s="1582"/>
      <c r="G82" s="1582"/>
      <c r="H82" s="1582"/>
      <c r="I82" s="1582"/>
      <c r="J82" s="1583"/>
    </row>
    <row r="83" spans="1:10" s="343" customFormat="1" ht="19.5" customHeight="1">
      <c r="A83" s="875" t="s">
        <v>139</v>
      </c>
      <c r="B83" s="1511">
        <f>B84+C85+C86</f>
        <v>0</v>
      </c>
      <c r="C83" s="1512"/>
      <c r="D83" s="1526">
        <f>D84+D85+D86</f>
        <v>0</v>
      </c>
      <c r="E83" s="1527"/>
      <c r="F83" s="1527"/>
      <c r="G83" s="1527"/>
      <c r="H83" s="1527"/>
      <c r="I83" s="1527"/>
      <c r="J83" s="1584"/>
    </row>
    <row r="84" spans="1:10" s="343" customFormat="1" ht="19.5" customHeight="1">
      <c r="A84" s="877" t="s">
        <v>12</v>
      </c>
      <c r="B84" s="1513"/>
      <c r="C84" s="1514"/>
      <c r="D84" s="1581"/>
      <c r="E84" s="1582"/>
      <c r="F84" s="1582"/>
      <c r="G84" s="1582"/>
      <c r="H84" s="1582"/>
      <c r="I84" s="1582"/>
      <c r="J84" s="1583"/>
    </row>
    <row r="85" spans="1:10" s="250" customFormat="1" ht="19.5" customHeight="1">
      <c r="A85" s="877" t="s">
        <v>13</v>
      </c>
      <c r="B85" s="1513"/>
      <c r="C85" s="1514">
        <f>B85</f>
        <v>0</v>
      </c>
      <c r="D85" s="1581"/>
      <c r="E85" s="1582"/>
      <c r="F85" s="1582"/>
      <c r="G85" s="1582"/>
      <c r="H85" s="1582"/>
      <c r="I85" s="1582"/>
      <c r="J85" s="1583"/>
    </row>
    <row r="86" spans="1:10" s="250" customFormat="1" ht="19.5" customHeight="1">
      <c r="A86" s="877" t="s">
        <v>14</v>
      </c>
      <c r="B86" s="1513"/>
      <c r="C86" s="1514">
        <f>B86</f>
        <v>0</v>
      </c>
      <c r="D86" s="1581"/>
      <c r="E86" s="1582"/>
      <c r="F86" s="1582"/>
      <c r="G86" s="1582"/>
      <c r="H86" s="1582"/>
      <c r="I86" s="1582"/>
      <c r="J86" s="1583"/>
    </row>
    <row r="87" spans="1:10" s="343" customFormat="1" ht="27.75" customHeight="1">
      <c r="A87" s="875" t="s">
        <v>16</v>
      </c>
      <c r="B87" s="1513"/>
      <c r="C87" s="1514"/>
      <c r="D87" s="1581"/>
      <c r="E87" s="1582"/>
      <c r="F87" s="1582"/>
      <c r="G87" s="1582"/>
      <c r="H87" s="1582"/>
      <c r="I87" s="1582"/>
      <c r="J87" s="1583"/>
    </row>
    <row r="88" spans="1:10" s="250" customFormat="1" ht="19.5" customHeight="1">
      <c r="A88" s="875" t="s">
        <v>141</v>
      </c>
      <c r="B88" s="1511">
        <f>B89+C90</f>
        <v>10754677</v>
      </c>
      <c r="C88" s="1512"/>
      <c r="D88" s="1526">
        <f>D89+D90</f>
        <v>2451694.67</v>
      </c>
      <c r="E88" s="1527"/>
      <c r="F88" s="1527"/>
      <c r="G88" s="1527"/>
      <c r="H88" s="1527"/>
      <c r="I88" s="1527"/>
      <c r="J88" s="1584"/>
    </row>
    <row r="89" spans="1:10" s="250" customFormat="1" ht="19.5" customHeight="1">
      <c r="A89" s="877" t="s">
        <v>717</v>
      </c>
      <c r="B89" s="1513">
        <v>10754677</v>
      </c>
      <c r="C89" s="1514"/>
      <c r="D89" s="1581">
        <v>2451694.67</v>
      </c>
      <c r="E89" s="1582"/>
      <c r="F89" s="1582"/>
      <c r="G89" s="1582"/>
      <c r="H89" s="1582"/>
      <c r="I89" s="1582"/>
      <c r="J89" s="1583"/>
    </row>
    <row r="90" spans="1:10" s="250" customFormat="1" ht="19.5" customHeight="1">
      <c r="A90" s="878" t="s">
        <v>370</v>
      </c>
      <c r="B90" s="1513"/>
      <c r="C90" s="1514"/>
      <c r="D90" s="1581"/>
      <c r="E90" s="1582"/>
      <c r="F90" s="1582"/>
      <c r="G90" s="1582"/>
      <c r="H90" s="1582"/>
      <c r="I90" s="1582"/>
      <c r="J90" s="1583"/>
    </row>
    <row r="91" spans="1:10" s="343" customFormat="1" ht="19.5" customHeight="1">
      <c r="A91" s="808" t="s">
        <v>937</v>
      </c>
      <c r="B91" s="1511">
        <f>C92+C93+C94</f>
        <v>0</v>
      </c>
      <c r="C91" s="1512"/>
      <c r="D91" s="1581">
        <f>D92+D93+D94</f>
        <v>0</v>
      </c>
      <c r="E91" s="1582"/>
      <c r="F91" s="1582"/>
      <c r="G91" s="1582"/>
      <c r="H91" s="1582"/>
      <c r="I91" s="1582"/>
      <c r="J91" s="1583"/>
    </row>
    <row r="92" spans="1:10" s="250" customFormat="1" ht="19.5" customHeight="1">
      <c r="A92" s="878" t="s">
        <v>146</v>
      </c>
      <c r="B92" s="1513"/>
      <c r="C92" s="1514"/>
      <c r="D92" s="1581"/>
      <c r="E92" s="1582"/>
      <c r="F92" s="1582"/>
      <c r="G92" s="1582"/>
      <c r="H92" s="1582"/>
      <c r="I92" s="1582"/>
      <c r="J92" s="1583"/>
    </row>
    <row r="93" spans="1:10" s="250" customFormat="1" ht="19.5" customHeight="1">
      <c r="A93" s="878" t="s">
        <v>147</v>
      </c>
      <c r="B93" s="1513"/>
      <c r="C93" s="1514"/>
      <c r="D93" s="1581"/>
      <c r="E93" s="1582"/>
      <c r="F93" s="1582"/>
      <c r="G93" s="1582"/>
      <c r="H93" s="1582"/>
      <c r="I93" s="1582"/>
      <c r="J93" s="1583"/>
    </row>
    <row r="94" spans="1:10" s="250" customFormat="1" ht="19.5" customHeight="1">
      <c r="A94" s="878" t="s">
        <v>148</v>
      </c>
      <c r="B94" s="1513"/>
      <c r="C94" s="1514"/>
      <c r="D94" s="1581"/>
      <c r="E94" s="1582"/>
      <c r="F94" s="1582"/>
      <c r="G94" s="1582"/>
      <c r="H94" s="1582"/>
      <c r="I94" s="1582"/>
      <c r="J94" s="1583"/>
    </row>
    <row r="95" spans="1:10" s="250" customFormat="1" ht="30" customHeight="1">
      <c r="A95" s="1172" t="s">
        <v>938</v>
      </c>
      <c r="B95" s="1529">
        <f>B91+B74</f>
        <v>130309099</v>
      </c>
      <c r="C95" s="1530"/>
      <c r="D95" s="1529">
        <f>D91+D74</f>
        <v>18040155.979999997</v>
      </c>
      <c r="E95" s="1531"/>
      <c r="F95" s="1531"/>
      <c r="G95" s="1531"/>
      <c r="H95" s="1531"/>
      <c r="I95" s="1531"/>
      <c r="J95" s="1532"/>
    </row>
    <row r="96" spans="1:10" s="250" customFormat="1" ht="11.25" customHeight="1">
      <c r="A96" s="351"/>
      <c r="B96" s="244"/>
      <c r="C96" s="244"/>
      <c r="D96" s="244"/>
      <c r="E96" s="244"/>
      <c r="F96" s="244"/>
      <c r="G96" s="244"/>
      <c r="H96" s="367"/>
      <c r="I96" s="367"/>
      <c r="J96" s="367"/>
    </row>
    <row r="97" spans="1:10" s="250" customFormat="1" ht="33" customHeight="1">
      <c r="A97" s="1568" t="s">
        <v>722</v>
      </c>
      <c r="B97" s="1569" t="s">
        <v>569</v>
      </c>
      <c r="C97" s="1570"/>
      <c r="D97" s="1575" t="s">
        <v>242</v>
      </c>
      <c r="E97" s="1576"/>
      <c r="F97" s="1576"/>
      <c r="G97" s="1575" t="s">
        <v>156</v>
      </c>
      <c r="H97" s="1579"/>
      <c r="I97" s="1166" t="s">
        <v>570</v>
      </c>
      <c r="J97" s="1167" t="s">
        <v>720</v>
      </c>
    </row>
    <row r="98" spans="1:10" s="250" customFormat="1" ht="12" customHeight="1">
      <c r="A98" s="1568"/>
      <c r="B98" s="1571"/>
      <c r="C98" s="1572"/>
      <c r="D98" s="1577"/>
      <c r="E98" s="1578"/>
      <c r="F98" s="1578"/>
      <c r="G98" s="1577"/>
      <c r="H98" s="1580"/>
      <c r="I98" s="1160"/>
      <c r="J98" s="1162"/>
    </row>
    <row r="99" spans="1:10" s="250" customFormat="1" ht="31.5" customHeight="1">
      <c r="A99" s="1568"/>
      <c r="B99" s="1573"/>
      <c r="C99" s="1574"/>
      <c r="D99" s="1522" t="s">
        <v>718</v>
      </c>
      <c r="E99" s="1523"/>
      <c r="F99" s="1523"/>
      <c r="G99" s="1524" t="s">
        <v>719</v>
      </c>
      <c r="H99" s="1525"/>
      <c r="I99" s="1161" t="s">
        <v>721</v>
      </c>
      <c r="J99" s="1161" t="s">
        <v>949</v>
      </c>
    </row>
    <row r="100" spans="1:10" s="250" customFormat="1" ht="19.5" customHeight="1">
      <c r="A100" s="808" t="s">
        <v>701</v>
      </c>
      <c r="B100" s="1511">
        <f>B101+B102</f>
        <v>339147128</v>
      </c>
      <c r="C100" s="1512"/>
      <c r="D100" s="1561">
        <f>D101+D102</f>
        <v>321338575.6</v>
      </c>
      <c r="E100" s="1562"/>
      <c r="F100" s="1563"/>
      <c r="G100" s="1561">
        <f>G101+G102</f>
        <v>49067786.14</v>
      </c>
      <c r="H100" s="1563"/>
      <c r="I100" s="1157">
        <f>I101+I102</f>
        <v>49067786.14</v>
      </c>
      <c r="J100" s="1157">
        <f>J101+J102</f>
        <v>0</v>
      </c>
    </row>
    <row r="101" spans="1:10" s="250" customFormat="1" ht="19.5" customHeight="1">
      <c r="A101" s="880" t="s">
        <v>152</v>
      </c>
      <c r="B101" s="1513">
        <v>283729270</v>
      </c>
      <c r="C101" s="1514"/>
      <c r="D101" s="1621">
        <v>283246517.6</v>
      </c>
      <c r="E101" s="1622"/>
      <c r="F101" s="1623"/>
      <c r="G101" s="1585">
        <v>40236630.57</v>
      </c>
      <c r="H101" s="1587"/>
      <c r="I101" s="358">
        <v>40236630.57</v>
      </c>
      <c r="J101" s="888"/>
    </row>
    <row r="102" spans="1:10" s="250" customFormat="1" ht="19.5" customHeight="1">
      <c r="A102" s="880" t="s">
        <v>702</v>
      </c>
      <c r="B102" s="1513">
        <v>55417858</v>
      </c>
      <c r="C102" s="1514"/>
      <c r="D102" s="1621">
        <v>38092058</v>
      </c>
      <c r="E102" s="1622"/>
      <c r="F102" s="1623"/>
      <c r="G102" s="1585">
        <v>8831155.57</v>
      </c>
      <c r="H102" s="1587"/>
      <c r="I102" s="358">
        <v>8831155.57</v>
      </c>
      <c r="J102" s="888"/>
    </row>
    <row r="103" spans="1:10" s="250" customFormat="1" ht="26.25" customHeight="1">
      <c r="A103" s="879" t="s">
        <v>703</v>
      </c>
      <c r="B103" s="1511">
        <f>B104+B105</f>
        <v>0</v>
      </c>
      <c r="C103" s="1512"/>
      <c r="D103" s="1526">
        <f>D104+D105</f>
        <v>0</v>
      </c>
      <c r="E103" s="1527"/>
      <c r="F103" s="1528"/>
      <c r="G103" s="1526">
        <f>G104+G105</f>
        <v>0</v>
      </c>
      <c r="H103" s="1528"/>
      <c r="I103" s="356">
        <f>I104+I105</f>
        <v>0</v>
      </c>
      <c r="J103" s="887">
        <f>J104+J105</f>
        <v>0</v>
      </c>
    </row>
    <row r="104" spans="1:10" s="250" customFormat="1" ht="19.5" customHeight="1">
      <c r="A104" s="880" t="s">
        <v>696</v>
      </c>
      <c r="B104" s="1511"/>
      <c r="C104" s="1512"/>
      <c r="D104" s="1526"/>
      <c r="E104" s="1527"/>
      <c r="F104" s="1528"/>
      <c r="G104" s="1526"/>
      <c r="H104" s="1528"/>
      <c r="I104" s="356"/>
      <c r="J104" s="887"/>
    </row>
    <row r="105" spans="1:10" s="250" customFormat="1" ht="19.5" customHeight="1">
      <c r="A105" s="880" t="s">
        <v>704</v>
      </c>
      <c r="B105" s="1513"/>
      <c r="C105" s="1514"/>
      <c r="D105" s="1585"/>
      <c r="E105" s="1586"/>
      <c r="F105" s="1587"/>
      <c r="G105" s="1585"/>
      <c r="H105" s="1587"/>
      <c r="I105" s="358"/>
      <c r="J105" s="888"/>
    </row>
    <row r="106" spans="1:10" s="250" customFormat="1" ht="27.75" customHeight="1">
      <c r="A106" s="1149" t="s">
        <v>939</v>
      </c>
      <c r="B106" s="1613">
        <f>B100+B103</f>
        <v>339147128</v>
      </c>
      <c r="C106" s="1614"/>
      <c r="D106" s="1613">
        <f>D100+D103</f>
        <v>321338575.6</v>
      </c>
      <c r="E106" s="1615"/>
      <c r="F106" s="1614"/>
      <c r="G106" s="1613">
        <f>G100+G103</f>
        <v>49067786.14</v>
      </c>
      <c r="H106" s="1614"/>
      <c r="I106" s="1163">
        <f>I100+I103</f>
        <v>49067786.14</v>
      </c>
      <c r="J106" s="1164">
        <f>J100+J103</f>
        <v>0</v>
      </c>
    </row>
    <row r="107" spans="1:10" s="250" customFormat="1" ht="11.25" customHeight="1">
      <c r="A107" s="883"/>
      <c r="B107" s="359"/>
      <c r="C107" s="360"/>
      <c r="D107" s="361"/>
      <c r="E107" s="361"/>
      <c r="F107" s="361"/>
      <c r="G107" s="361"/>
      <c r="H107" s="361"/>
      <c r="I107" s="362"/>
      <c r="J107" s="363"/>
    </row>
    <row r="108" spans="1:10" s="250" customFormat="1" ht="29.25" customHeight="1">
      <c r="A108" s="1171" t="s">
        <v>940</v>
      </c>
      <c r="B108" s="1553">
        <f>B95-B106</f>
        <v>-208838029</v>
      </c>
      <c r="C108" s="1554"/>
      <c r="D108" s="1555">
        <f>D95-D106</f>
        <v>-303298419.62</v>
      </c>
      <c r="E108" s="1556"/>
      <c r="F108" s="1557"/>
      <c r="G108" s="1555">
        <f>D95-G106</f>
        <v>-31027630.160000004</v>
      </c>
      <c r="H108" s="1557"/>
      <c r="I108" s="1203">
        <f>D95-I106</f>
        <v>-31027630.160000004</v>
      </c>
      <c r="J108" s="1203">
        <v>0</v>
      </c>
    </row>
    <row r="109" spans="1:10" s="250" customFormat="1" ht="9" customHeight="1">
      <c r="A109" s="883"/>
      <c r="B109" s="359"/>
      <c r="C109" s="360"/>
      <c r="D109" s="361"/>
      <c r="E109" s="361"/>
      <c r="F109" s="361"/>
      <c r="G109" s="361"/>
      <c r="H109" s="361"/>
      <c r="I109" s="362"/>
      <c r="J109" s="363"/>
    </row>
    <row r="110" spans="1:10" s="250" customFormat="1" ht="34.5" customHeight="1">
      <c r="A110" s="1173" t="s">
        <v>723</v>
      </c>
      <c r="B110" s="1637" t="s">
        <v>291</v>
      </c>
      <c r="C110" s="1638"/>
      <c r="D110" s="1638"/>
      <c r="E110" s="1638"/>
      <c r="F110" s="1638"/>
      <c r="G110" s="1638"/>
      <c r="H110" s="1638"/>
      <c r="I110" s="1638"/>
      <c r="J110" s="1639"/>
    </row>
    <row r="111" spans="1:10" s="250" customFormat="1" ht="19.5" customHeight="1">
      <c r="A111" s="1154" t="s">
        <v>724</v>
      </c>
      <c r="B111" s="1539">
        <v>33274952.1</v>
      </c>
      <c r="C111" s="1539"/>
      <c r="D111" s="1539"/>
      <c r="E111" s="1539"/>
      <c r="F111" s="1539"/>
      <c r="G111" s="1539"/>
      <c r="H111" s="1539"/>
      <c r="I111" s="1539"/>
      <c r="J111" s="1540"/>
    </row>
    <row r="112" spans="1:10" s="250" customFormat="1" ht="19.5" customHeight="1">
      <c r="A112" s="1154" t="s">
        <v>372</v>
      </c>
      <c r="B112" s="1507"/>
      <c r="C112" s="1507"/>
      <c r="D112" s="1507"/>
      <c r="E112" s="1507"/>
      <c r="F112" s="1507"/>
      <c r="G112" s="1507"/>
      <c r="H112" s="1507"/>
      <c r="I112" s="1507"/>
      <c r="J112" s="1507"/>
    </row>
    <row r="113" spans="1:10" s="250" customFormat="1" ht="12" customHeight="1">
      <c r="A113" s="1206"/>
      <c r="B113" s="1153"/>
      <c r="C113" s="1153"/>
      <c r="D113" s="1153"/>
      <c r="E113" s="1153"/>
      <c r="F113" s="1153"/>
      <c r="G113" s="1153"/>
      <c r="H113" s="1153"/>
      <c r="I113" s="1153"/>
      <c r="J113" s="1153"/>
    </row>
    <row r="114" spans="1:10" s="250" customFormat="1" ht="19.5" customHeight="1">
      <c r="A114" s="1558" t="s">
        <v>725</v>
      </c>
      <c r="B114" s="1559"/>
      <c r="C114" s="1559"/>
      <c r="D114" s="1559"/>
      <c r="E114" s="1559"/>
      <c r="F114" s="1559"/>
      <c r="G114" s="1559"/>
      <c r="H114" s="1559"/>
      <c r="I114" s="1559"/>
      <c r="J114" s="1560"/>
    </row>
    <row r="115" spans="1:10" s="250" customFormat="1" ht="19.5" customHeight="1">
      <c r="A115" s="1564" t="s">
        <v>726</v>
      </c>
      <c r="B115" s="1566" t="s">
        <v>555</v>
      </c>
      <c r="C115" s="1592"/>
      <c r="D115" s="1566" t="s">
        <v>699</v>
      </c>
      <c r="E115" s="1543"/>
      <c r="F115" s="1543"/>
      <c r="G115" s="1543"/>
      <c r="H115" s="1543"/>
      <c r="I115" s="1543"/>
      <c r="J115" s="1546"/>
    </row>
    <row r="116" spans="1:10" s="250" customFormat="1" ht="30" customHeight="1">
      <c r="A116" s="1565"/>
      <c r="B116" s="1567"/>
      <c r="C116" s="1635"/>
      <c r="D116" s="1567" t="s">
        <v>755</v>
      </c>
      <c r="E116" s="1545"/>
      <c r="F116" s="1545"/>
      <c r="G116" s="1545"/>
      <c r="H116" s="1545"/>
      <c r="I116" s="1545"/>
      <c r="J116" s="1547"/>
    </row>
    <row r="117" spans="1:10" s="378" customFormat="1" ht="19.5" customHeight="1">
      <c r="A117" s="1367" t="s">
        <v>727</v>
      </c>
      <c r="B117" s="1552"/>
      <c r="C117" s="1552"/>
      <c r="D117" s="1552"/>
      <c r="E117" s="1552"/>
      <c r="F117" s="1552"/>
      <c r="G117" s="1552"/>
      <c r="H117" s="1552"/>
      <c r="I117" s="1552"/>
      <c r="J117" s="1552"/>
    </row>
    <row r="118" spans="1:10" s="343" customFormat="1" ht="19.5" customHeight="1">
      <c r="A118" s="1183" t="s">
        <v>941</v>
      </c>
      <c r="B118" s="1632">
        <f>B117</f>
        <v>0</v>
      </c>
      <c r="C118" s="1633"/>
      <c r="D118" s="1632">
        <f>D117</f>
        <v>0</v>
      </c>
      <c r="E118" s="1634"/>
      <c r="F118" s="1634"/>
      <c r="G118" s="1634"/>
      <c r="H118" s="1634"/>
      <c r="I118" s="1634"/>
      <c r="J118" s="1633"/>
    </row>
    <row r="119" spans="1:10" s="250" customFormat="1" ht="6" customHeight="1">
      <c r="A119" s="1175"/>
      <c r="B119" s="1176"/>
      <c r="C119" s="1176"/>
      <c r="D119" s="1176"/>
      <c r="E119" s="1176"/>
      <c r="F119" s="1176"/>
      <c r="G119" s="1176"/>
      <c r="H119" s="1176"/>
      <c r="I119" s="1176"/>
      <c r="J119" s="1176"/>
    </row>
    <row r="120" spans="1:10" s="250" customFormat="1" ht="29.25" customHeight="1">
      <c r="A120" s="1541" t="s">
        <v>728</v>
      </c>
      <c r="B120" s="1533" t="s">
        <v>569</v>
      </c>
      <c r="C120" s="1534"/>
      <c r="D120" s="1542" t="s">
        <v>242</v>
      </c>
      <c r="E120" s="1543"/>
      <c r="F120" s="1543"/>
      <c r="G120" s="1542" t="s">
        <v>156</v>
      </c>
      <c r="H120" s="1546"/>
      <c r="I120" s="1184" t="s">
        <v>570</v>
      </c>
      <c r="J120" s="1185" t="s">
        <v>720</v>
      </c>
    </row>
    <row r="121" spans="1:10" s="250" customFormat="1" ht="8.25" customHeight="1">
      <c r="A121" s="1541"/>
      <c r="B121" s="1535"/>
      <c r="C121" s="1536"/>
      <c r="D121" s="1544"/>
      <c r="E121" s="1545"/>
      <c r="F121" s="1545"/>
      <c r="G121" s="1544"/>
      <c r="H121" s="1547"/>
      <c r="I121" s="1186"/>
      <c r="J121" s="1187"/>
    </row>
    <row r="122" spans="1:10" s="250" customFormat="1" ht="31.5" customHeight="1">
      <c r="A122" s="1541"/>
      <c r="B122" s="1537"/>
      <c r="C122" s="1538"/>
      <c r="D122" s="1548" t="s">
        <v>718</v>
      </c>
      <c r="E122" s="1549"/>
      <c r="F122" s="1549"/>
      <c r="G122" s="1550" t="s">
        <v>719</v>
      </c>
      <c r="H122" s="1551"/>
      <c r="I122" s="1188" t="s">
        <v>721</v>
      </c>
      <c r="J122" s="1188" t="s">
        <v>950</v>
      </c>
    </row>
    <row r="123" spans="1:10" s="343" customFormat="1" ht="19.5" customHeight="1">
      <c r="A123" s="808" t="s">
        <v>942</v>
      </c>
      <c r="B123" s="1511">
        <f>B124+B125</f>
        <v>19058710</v>
      </c>
      <c r="C123" s="1512"/>
      <c r="D123" s="1561">
        <f>D124+D125</f>
        <v>4908403.54</v>
      </c>
      <c r="E123" s="1562"/>
      <c r="F123" s="1563"/>
      <c r="G123" s="1561">
        <f>G124+G125</f>
        <v>1304433.89</v>
      </c>
      <c r="H123" s="1563"/>
      <c r="I123" s="1157">
        <f>I124+I125</f>
        <v>875314.4199999999</v>
      </c>
      <c r="J123" s="1157">
        <f>J124+J125</f>
        <v>0</v>
      </c>
    </row>
    <row r="124" spans="1:10" s="250" customFormat="1" ht="19.5" customHeight="1">
      <c r="A124" s="880" t="s">
        <v>729</v>
      </c>
      <c r="B124" s="1513">
        <v>2340000</v>
      </c>
      <c r="C124" s="1514"/>
      <c r="D124" s="1561">
        <v>2220939</v>
      </c>
      <c r="E124" s="1562"/>
      <c r="F124" s="1563"/>
      <c r="G124" s="1585">
        <v>259506.93</v>
      </c>
      <c r="H124" s="1587"/>
      <c r="I124" s="358">
        <v>250493.48</v>
      </c>
      <c r="J124" s="888"/>
    </row>
    <row r="125" spans="1:10" s="250" customFormat="1" ht="19.5" customHeight="1">
      <c r="A125" s="1178" t="s">
        <v>730</v>
      </c>
      <c r="B125" s="1515">
        <v>16718710</v>
      </c>
      <c r="C125" s="1516"/>
      <c r="D125" s="1517">
        <v>2687464.54</v>
      </c>
      <c r="E125" s="1518"/>
      <c r="F125" s="1519"/>
      <c r="G125" s="1520">
        <v>1044926.96</v>
      </c>
      <c r="H125" s="1521"/>
      <c r="I125" s="1179">
        <v>624820.94</v>
      </c>
      <c r="J125" s="1180"/>
    </row>
    <row r="126" spans="1:10" s="343" customFormat="1" ht="19.5" customHeight="1">
      <c r="A126" s="1182" t="s">
        <v>943</v>
      </c>
      <c r="B126" s="1502">
        <v>1500000</v>
      </c>
      <c r="C126" s="1503"/>
      <c r="D126" s="1502">
        <v>0</v>
      </c>
      <c r="E126" s="1604"/>
      <c r="F126" s="1503"/>
      <c r="G126" s="1502">
        <v>0</v>
      </c>
      <c r="H126" s="1503"/>
      <c r="I126" s="1174">
        <v>0</v>
      </c>
      <c r="J126" s="1174"/>
    </row>
    <row r="127" spans="1:10" s="343" customFormat="1" ht="30.75" customHeight="1">
      <c r="A127" s="1193" t="s">
        <v>944</v>
      </c>
      <c r="B127" s="1504">
        <f>B123+B126</f>
        <v>20558710</v>
      </c>
      <c r="C127" s="1506"/>
      <c r="D127" s="1504">
        <f>D123+D126</f>
        <v>4908403.54</v>
      </c>
      <c r="E127" s="1505"/>
      <c r="F127" s="1506"/>
      <c r="G127" s="1504">
        <f>G123+G126</f>
        <v>1304433.89</v>
      </c>
      <c r="H127" s="1506"/>
      <c r="I127" s="1197">
        <f>I123+I126</f>
        <v>875314.4199999999</v>
      </c>
      <c r="J127" s="1197">
        <f>J123+J126</f>
        <v>0</v>
      </c>
    </row>
    <row r="128" spans="1:10" s="250" customFormat="1" ht="9.75" customHeight="1">
      <c r="A128" s="1175"/>
      <c r="B128" s="1176"/>
      <c r="C128" s="1176"/>
      <c r="D128" s="1176"/>
      <c r="E128" s="1176"/>
      <c r="F128" s="1176"/>
      <c r="G128" s="1176"/>
      <c r="H128" s="1176"/>
      <c r="I128" s="1176"/>
      <c r="J128" s="1176"/>
    </row>
    <row r="129" spans="1:10" s="1369" customFormat="1" ht="19.5" customHeight="1">
      <c r="A129" s="1368" t="s">
        <v>945</v>
      </c>
      <c r="B129" s="1504">
        <f>B118-B127</f>
        <v>-20558710</v>
      </c>
      <c r="C129" s="1506"/>
      <c r="D129" s="1504">
        <f>D118-D127</f>
        <v>-4908403.54</v>
      </c>
      <c r="E129" s="1505"/>
      <c r="F129" s="1506"/>
      <c r="G129" s="1504">
        <f>D118-G127</f>
        <v>-1304433.89</v>
      </c>
      <c r="H129" s="1506"/>
      <c r="I129" s="1197">
        <f>D118-I127</f>
        <v>-875314.4199999999</v>
      </c>
      <c r="J129" s="1197">
        <v>0</v>
      </c>
    </row>
    <row r="130" spans="1:10" s="1189" customFormat="1" ht="9" customHeight="1">
      <c r="A130" s="1190"/>
      <c r="B130" s="1177"/>
      <c r="C130" s="1177"/>
      <c r="D130" s="1177"/>
      <c r="E130" s="1177"/>
      <c r="F130" s="1177"/>
      <c r="G130" s="1177"/>
      <c r="H130" s="1177"/>
      <c r="I130" s="1177"/>
      <c r="J130" s="1177"/>
    </row>
    <row r="131" spans="1:10" s="1189" customFormat="1" ht="19.5" customHeight="1">
      <c r="A131" s="1558" t="s">
        <v>731</v>
      </c>
      <c r="B131" s="1559"/>
      <c r="C131" s="1559"/>
      <c r="D131" s="1559"/>
      <c r="E131" s="1559"/>
      <c r="F131" s="1559"/>
      <c r="G131" s="1559"/>
      <c r="H131" s="1559"/>
      <c r="I131" s="1559"/>
      <c r="J131" s="1560"/>
    </row>
    <row r="132" spans="1:10" s="1189" customFormat="1" ht="22.5" customHeight="1">
      <c r="A132" s="1564" t="s">
        <v>732</v>
      </c>
      <c r="B132" s="1566" t="s">
        <v>555</v>
      </c>
      <c r="C132" s="1592"/>
      <c r="D132" s="1566" t="s">
        <v>699</v>
      </c>
      <c r="E132" s="1543"/>
      <c r="F132" s="1543"/>
      <c r="G132" s="1543"/>
      <c r="H132" s="1543"/>
      <c r="I132" s="1543"/>
      <c r="J132" s="1546"/>
    </row>
    <row r="133" spans="1:10" s="1189" customFormat="1" ht="28.5" customHeight="1">
      <c r="A133" s="1565"/>
      <c r="B133" s="1567"/>
      <c r="C133" s="1635"/>
      <c r="D133" s="1567" t="s">
        <v>755</v>
      </c>
      <c r="E133" s="1545"/>
      <c r="F133" s="1545"/>
      <c r="G133" s="1545"/>
      <c r="H133" s="1545"/>
      <c r="I133" s="1545"/>
      <c r="J133" s="1547"/>
    </row>
    <row r="134" spans="1:10" s="1189" customFormat="1" ht="16.5" customHeight="1">
      <c r="A134" s="1154" t="s">
        <v>733</v>
      </c>
      <c r="B134" s="1502"/>
      <c r="C134" s="1503"/>
      <c r="D134" s="1507"/>
      <c r="E134" s="1507"/>
      <c r="F134" s="1507"/>
      <c r="G134" s="1507"/>
      <c r="H134" s="1507"/>
      <c r="I134" s="1507"/>
      <c r="J134" s="1507"/>
    </row>
    <row r="135" spans="1:10" s="1189" customFormat="1" ht="17.25" customHeight="1">
      <c r="A135" s="1154" t="s">
        <v>734</v>
      </c>
      <c r="B135" s="1502"/>
      <c r="C135" s="1503"/>
      <c r="D135" s="1507"/>
      <c r="E135" s="1507"/>
      <c r="F135" s="1507"/>
      <c r="G135" s="1507"/>
      <c r="H135" s="1507"/>
      <c r="I135" s="1507"/>
      <c r="J135" s="1507"/>
    </row>
    <row r="136" spans="1:10" s="1189" customFormat="1" ht="33.75" customHeight="1">
      <c r="A136" s="1193" t="s">
        <v>946</v>
      </c>
      <c r="B136" s="1504">
        <f>B134+B135</f>
        <v>0</v>
      </c>
      <c r="C136" s="1506"/>
      <c r="D136" s="1504">
        <f>D134+D135</f>
        <v>0</v>
      </c>
      <c r="E136" s="1505"/>
      <c r="F136" s="1505"/>
      <c r="G136" s="1505"/>
      <c r="H136" s="1505"/>
      <c r="I136" s="1505"/>
      <c r="J136" s="1506"/>
    </row>
    <row r="137" spans="1:10" s="1189" customFormat="1" ht="40.5" customHeight="1">
      <c r="A137" s="1640" t="s">
        <v>735</v>
      </c>
      <c r="B137" s="1535" t="s">
        <v>569</v>
      </c>
      <c r="C137" s="1536"/>
      <c r="D137" s="1544" t="s">
        <v>242</v>
      </c>
      <c r="E137" s="1545"/>
      <c r="F137" s="1545"/>
      <c r="G137" s="1544" t="s">
        <v>156</v>
      </c>
      <c r="H137" s="1547"/>
      <c r="I137" s="1191" t="s">
        <v>570</v>
      </c>
      <c r="J137" s="1192" t="s">
        <v>720</v>
      </c>
    </row>
    <row r="138" spans="1:10" s="1189" customFormat="1" ht="12.75" customHeight="1">
      <c r="A138" s="1541"/>
      <c r="B138" s="1535"/>
      <c r="C138" s="1536"/>
      <c r="D138" s="1544"/>
      <c r="E138" s="1545"/>
      <c r="F138" s="1545"/>
      <c r="G138" s="1544"/>
      <c r="H138" s="1547"/>
      <c r="I138" s="1186"/>
      <c r="J138" s="1187"/>
    </row>
    <row r="139" spans="1:10" s="1189" customFormat="1" ht="35.25" customHeight="1">
      <c r="A139" s="1541"/>
      <c r="B139" s="1537"/>
      <c r="C139" s="1538"/>
      <c r="D139" s="1548" t="s">
        <v>718</v>
      </c>
      <c r="E139" s="1549"/>
      <c r="F139" s="1549"/>
      <c r="G139" s="1550" t="s">
        <v>719</v>
      </c>
      <c r="H139" s="1551"/>
      <c r="I139" s="1188" t="s">
        <v>721</v>
      </c>
      <c r="J139" s="1188" t="s">
        <v>950</v>
      </c>
    </row>
    <row r="140" spans="1:10" s="250" customFormat="1" ht="19.5" customHeight="1">
      <c r="A140" s="1181" t="s">
        <v>152</v>
      </c>
      <c r="B140" s="1513"/>
      <c r="C140" s="1514"/>
      <c r="D140" s="1621"/>
      <c r="E140" s="1622"/>
      <c r="F140" s="1623"/>
      <c r="G140" s="1621"/>
      <c r="H140" s="1623"/>
      <c r="I140" s="1194"/>
      <c r="J140" s="1194"/>
    </row>
    <row r="141" spans="1:10" s="250" customFormat="1" ht="19.5" customHeight="1">
      <c r="A141" s="1195" t="s">
        <v>153</v>
      </c>
      <c r="B141" s="1513"/>
      <c r="C141" s="1514"/>
      <c r="D141" s="1561"/>
      <c r="E141" s="1562"/>
      <c r="F141" s="1563"/>
      <c r="G141" s="1585"/>
      <c r="H141" s="1587"/>
      <c r="I141" s="358"/>
      <c r="J141" s="888"/>
    </row>
    <row r="142" spans="1:10" s="250" customFormat="1" ht="19.5" customHeight="1">
      <c r="A142" s="1196" t="s">
        <v>736</v>
      </c>
      <c r="B142" s="1515"/>
      <c r="C142" s="1516"/>
      <c r="D142" s="1517"/>
      <c r="E142" s="1518"/>
      <c r="F142" s="1519"/>
      <c r="G142" s="1520"/>
      <c r="H142" s="1521"/>
      <c r="I142" s="1179"/>
      <c r="J142" s="1180"/>
    </row>
    <row r="143" spans="1:10" s="250" customFormat="1" ht="35.25" customHeight="1">
      <c r="A143" s="1198" t="s">
        <v>947</v>
      </c>
      <c r="B143" s="1504">
        <f>B140+B141+B142</f>
        <v>0</v>
      </c>
      <c r="C143" s="1506"/>
      <c r="D143" s="1504">
        <f>D140+D141+D142</f>
        <v>0</v>
      </c>
      <c r="E143" s="1505"/>
      <c r="F143" s="1506"/>
      <c r="G143" s="1504">
        <f>G140+G141+G142</f>
        <v>0</v>
      </c>
      <c r="H143" s="1506"/>
      <c r="I143" s="1197">
        <f>I140+I141+I142</f>
        <v>0</v>
      </c>
      <c r="J143" s="1197">
        <f>J140+J141+J142</f>
        <v>0</v>
      </c>
    </row>
    <row r="144" spans="1:10" s="262" customFormat="1" ht="12.75" customHeight="1">
      <c r="A144" s="1175"/>
      <c r="B144" s="1176"/>
      <c r="C144" s="1176"/>
      <c r="D144" s="1176"/>
      <c r="E144" s="1176"/>
      <c r="F144" s="1176"/>
      <c r="G144" s="1176"/>
      <c r="H144" s="1176"/>
      <c r="I144" s="1176"/>
      <c r="J144" s="1176"/>
    </row>
    <row r="145" spans="1:10" s="250" customFormat="1" ht="36.75" customHeight="1">
      <c r="A145" s="1198" t="s">
        <v>948</v>
      </c>
      <c r="B145" s="1504">
        <f>B136-B143</f>
        <v>0</v>
      </c>
      <c r="C145" s="1506"/>
      <c r="D145" s="1504">
        <v>0</v>
      </c>
      <c r="E145" s="1505"/>
      <c r="F145" s="1506"/>
      <c r="G145" s="1504">
        <f>D136-G143</f>
        <v>0</v>
      </c>
      <c r="H145" s="1506"/>
      <c r="I145" s="1197">
        <v>0</v>
      </c>
      <c r="J145" s="1197">
        <v>0</v>
      </c>
    </row>
    <row r="146" spans="1:10" s="1117" customFormat="1" ht="17.25" customHeight="1">
      <c r="A146" s="1204" t="s">
        <v>56</v>
      </c>
      <c r="B146" s="1205"/>
      <c r="C146" s="1205"/>
      <c r="D146" s="1205"/>
      <c r="E146" s="1205"/>
      <c r="F146" s="1205"/>
      <c r="G146" s="1205"/>
      <c r="H146" s="1205"/>
      <c r="I146" s="1205"/>
      <c r="J146" s="1205"/>
    </row>
    <row r="147" spans="1:10" s="250" customFormat="1" ht="15.75" customHeight="1">
      <c r="A147" s="366" t="str">
        <f>'Anexo 1 _ BAL ORC'!A99</f>
        <v>  São Luís, 24 de março de 2021</v>
      </c>
      <c r="B147" s="350"/>
      <c r="C147" s="364"/>
      <c r="D147" s="365"/>
      <c r="E147" s="365"/>
      <c r="F147" s="365"/>
      <c r="G147" s="365"/>
      <c r="H147" s="365"/>
      <c r="I147" s="365"/>
      <c r="J147" s="365"/>
    </row>
    <row r="148" spans="1:10" s="250" customFormat="1" ht="15.75" customHeight="1">
      <c r="A148" s="1199" t="s">
        <v>768</v>
      </c>
      <c r="B148" s="970"/>
      <c r="C148" s="368"/>
      <c r="D148" s="304"/>
      <c r="E148" s="304"/>
      <c r="F148" s="304"/>
      <c r="G148" s="304"/>
      <c r="H148" s="304"/>
      <c r="I148" s="304"/>
      <c r="J148" s="304"/>
    </row>
    <row r="149" spans="1:10" s="250" customFormat="1" ht="14.25">
      <c r="A149" s="1200"/>
      <c r="B149" s="292"/>
      <c r="C149" s="1201"/>
      <c r="D149" s="321"/>
      <c r="E149" s="1202"/>
      <c r="F149" s="1202"/>
      <c r="G149" s="1202"/>
      <c r="H149" s="1202"/>
      <c r="I149" s="1202"/>
      <c r="J149" s="261"/>
    </row>
    <row r="150" spans="1:10" s="250" customFormat="1" ht="14.25">
      <c r="A150" s="351"/>
      <c r="B150" s="246"/>
      <c r="C150" s="246"/>
      <c r="D150" s="246"/>
      <c r="E150" s="246"/>
      <c r="F150" s="246"/>
      <c r="G150" s="246"/>
      <c r="H150" s="246"/>
      <c r="I150" s="246"/>
      <c r="J150" s="246"/>
    </row>
    <row r="151" spans="1:10" s="250" customFormat="1" ht="14.25">
      <c r="A151" s="351"/>
      <c r="B151" s="246"/>
      <c r="C151" s="246"/>
      <c r="D151" s="246"/>
      <c r="E151" s="246"/>
      <c r="F151" s="246"/>
      <c r="G151" s="246"/>
      <c r="H151" s="246"/>
      <c r="I151" s="246"/>
      <c r="J151" s="246"/>
    </row>
    <row r="152" spans="1:10" s="250" customFormat="1" ht="14.25">
      <c r="A152" s="351"/>
      <c r="B152" s="246"/>
      <c r="C152" s="246"/>
      <c r="D152" s="246"/>
      <c r="E152" s="246"/>
      <c r="F152" s="246"/>
      <c r="G152" s="246"/>
      <c r="H152" s="246"/>
      <c r="I152" s="246"/>
      <c r="J152" s="246"/>
    </row>
    <row r="153" spans="1:10" s="250" customFormat="1" ht="14.25">
      <c r="A153" s="351"/>
      <c r="B153" s="246"/>
      <c r="C153" s="246"/>
      <c r="D153" s="246"/>
      <c r="E153" s="246"/>
      <c r="F153" s="246"/>
      <c r="G153" s="246"/>
      <c r="H153" s="246"/>
      <c r="I153" s="246"/>
      <c r="J153" s="246"/>
    </row>
    <row r="154" spans="1:10" s="250" customFormat="1" ht="14.25">
      <c r="A154" s="351"/>
      <c r="B154" s="246"/>
      <c r="C154" s="246"/>
      <c r="D154" s="246"/>
      <c r="E154" s="246"/>
      <c r="F154" s="246"/>
      <c r="G154" s="246"/>
      <c r="H154" s="246"/>
      <c r="I154" s="246"/>
      <c r="J154" s="246"/>
    </row>
    <row r="155" spans="1:10" s="250" customFormat="1" ht="14.25">
      <c r="A155" s="351"/>
      <c r="B155" s="246"/>
      <c r="C155" s="246"/>
      <c r="D155" s="246"/>
      <c r="E155" s="246"/>
      <c r="F155" s="246"/>
      <c r="G155" s="246"/>
      <c r="H155" s="246"/>
      <c r="I155" s="246"/>
      <c r="J155" s="246"/>
    </row>
    <row r="156" ht="11.25"/>
    <row r="157" ht="11.25"/>
    <row r="158" ht="11.25"/>
    <row r="159" ht="11.25"/>
    <row r="160" ht="11.25"/>
    <row r="189" ht="12.75" customHeight="1">
      <c r="A189" s="83"/>
    </row>
  </sheetData>
  <sheetProtection/>
  <mergeCells count="252">
    <mergeCell ref="D26:J26"/>
    <mergeCell ref="D27:J27"/>
    <mergeCell ref="D28:J28"/>
    <mergeCell ref="B30:C30"/>
    <mergeCell ref="B74:C74"/>
    <mergeCell ref="D74:J74"/>
    <mergeCell ref="D33:J33"/>
    <mergeCell ref="D34:J34"/>
    <mergeCell ref="B36:C38"/>
    <mergeCell ref="B31:C31"/>
    <mergeCell ref="B32:C32"/>
    <mergeCell ref="D31:J31"/>
    <mergeCell ref="D32:J32"/>
    <mergeCell ref="B16:C16"/>
    <mergeCell ref="B17:C17"/>
    <mergeCell ref="B24:C24"/>
    <mergeCell ref="B25:C25"/>
    <mergeCell ref="B21:C21"/>
    <mergeCell ref="D16:J16"/>
    <mergeCell ref="D23:J23"/>
    <mergeCell ref="D24:J24"/>
    <mergeCell ref="D25:J25"/>
    <mergeCell ref="B14:C14"/>
    <mergeCell ref="B15:C15"/>
    <mergeCell ref="D11:J11"/>
    <mergeCell ref="D12:J12"/>
    <mergeCell ref="D13:J13"/>
    <mergeCell ref="D14:J14"/>
    <mergeCell ref="D15:J15"/>
    <mergeCell ref="B134:C134"/>
    <mergeCell ref="B136:C136"/>
    <mergeCell ref="B26:C26"/>
    <mergeCell ref="B27:C27"/>
    <mergeCell ref="B28:C28"/>
    <mergeCell ref="B29:C29"/>
    <mergeCell ref="B33:C33"/>
    <mergeCell ref="B34:C34"/>
    <mergeCell ref="B129:C129"/>
    <mergeCell ref="B124:C124"/>
    <mergeCell ref="B140:C140"/>
    <mergeCell ref="D140:F140"/>
    <mergeCell ref="G140:H140"/>
    <mergeCell ref="B141:C141"/>
    <mergeCell ref="D141:F141"/>
    <mergeCell ref="G141:H141"/>
    <mergeCell ref="A137:A139"/>
    <mergeCell ref="B137:C139"/>
    <mergeCell ref="D137:F138"/>
    <mergeCell ref="G137:H138"/>
    <mergeCell ref="D139:F139"/>
    <mergeCell ref="G139:H139"/>
    <mergeCell ref="D129:F129"/>
    <mergeCell ref="G129:H129"/>
    <mergeCell ref="L68:O68"/>
    <mergeCell ref="A131:J131"/>
    <mergeCell ref="A132:A133"/>
    <mergeCell ref="B132:C133"/>
    <mergeCell ref="D132:J132"/>
    <mergeCell ref="D133:J133"/>
    <mergeCell ref="B110:J110"/>
    <mergeCell ref="B127:C127"/>
    <mergeCell ref="D127:F127"/>
    <mergeCell ref="G127:H127"/>
    <mergeCell ref="L66:O66"/>
    <mergeCell ref="L67:O67"/>
    <mergeCell ref="B78:C78"/>
    <mergeCell ref="B79:C79"/>
    <mergeCell ref="B80:C80"/>
    <mergeCell ref="B126:C126"/>
    <mergeCell ref="D126:F126"/>
    <mergeCell ref="G126:H126"/>
    <mergeCell ref="D79:J79"/>
    <mergeCell ref="D80:J80"/>
    <mergeCell ref="B77:C77"/>
    <mergeCell ref="B118:C118"/>
    <mergeCell ref="D118:J118"/>
    <mergeCell ref="G105:H105"/>
    <mergeCell ref="B115:C116"/>
    <mergeCell ref="B81:C81"/>
    <mergeCell ref="D81:J81"/>
    <mergeCell ref="D77:J77"/>
    <mergeCell ref="B125:C125"/>
    <mergeCell ref="D125:F125"/>
    <mergeCell ref="G125:H125"/>
    <mergeCell ref="A36:A38"/>
    <mergeCell ref="D36:F37"/>
    <mergeCell ref="B55:J57"/>
    <mergeCell ref="G103:H103"/>
    <mergeCell ref="G104:H104"/>
    <mergeCell ref="D78:J78"/>
    <mergeCell ref="A64:A65"/>
    <mergeCell ref="B66:J66"/>
    <mergeCell ref="B67:J67"/>
    <mergeCell ref="B75:C75"/>
    <mergeCell ref="D18:J18"/>
    <mergeCell ref="D19:J19"/>
    <mergeCell ref="G36:H37"/>
    <mergeCell ref="B18:C18"/>
    <mergeCell ref="B19:C19"/>
    <mergeCell ref="B20:C20"/>
    <mergeCell ref="B47:C47"/>
    <mergeCell ref="E7:G7"/>
    <mergeCell ref="I7:J7"/>
    <mergeCell ref="D10:J10"/>
    <mergeCell ref="A9:J9"/>
    <mergeCell ref="A10:A11"/>
    <mergeCell ref="D17:J17"/>
    <mergeCell ref="A8:J8"/>
    <mergeCell ref="B10:C11"/>
    <mergeCell ref="B12:C12"/>
    <mergeCell ref="B13:C13"/>
    <mergeCell ref="D124:F124"/>
    <mergeCell ref="D100:F100"/>
    <mergeCell ref="D101:F101"/>
    <mergeCell ref="D102:F102"/>
    <mergeCell ref="G100:H100"/>
    <mergeCell ref="G101:H101"/>
    <mergeCell ref="G102:H102"/>
    <mergeCell ref="G106:H106"/>
    <mergeCell ref="G124:H124"/>
    <mergeCell ref="D47:F47"/>
    <mergeCell ref="G47:H47"/>
    <mergeCell ref="D104:F104"/>
    <mergeCell ref="D105:F105"/>
    <mergeCell ref="B106:C106"/>
    <mergeCell ref="D106:F106"/>
    <mergeCell ref="D75:J75"/>
    <mergeCell ref="B76:C76"/>
    <mergeCell ref="D76:J76"/>
    <mergeCell ref="B59:J59"/>
    <mergeCell ref="B45:C45"/>
    <mergeCell ref="D45:F45"/>
    <mergeCell ref="G45:H45"/>
    <mergeCell ref="A46:J46"/>
    <mergeCell ref="D20:J20"/>
    <mergeCell ref="D21:J21"/>
    <mergeCell ref="B22:C22"/>
    <mergeCell ref="B23:C23"/>
    <mergeCell ref="D29:J29"/>
    <mergeCell ref="D30:J30"/>
    <mergeCell ref="G41:H41"/>
    <mergeCell ref="D42:F42"/>
    <mergeCell ref="D43:F43"/>
    <mergeCell ref="D44:F44"/>
    <mergeCell ref="G42:H42"/>
    <mergeCell ref="G43:H43"/>
    <mergeCell ref="G44:H44"/>
    <mergeCell ref="B61:J61"/>
    <mergeCell ref="B64:J65"/>
    <mergeCell ref="D22:J22"/>
    <mergeCell ref="B60:J60"/>
    <mergeCell ref="B42:C42"/>
    <mergeCell ref="B43:C43"/>
    <mergeCell ref="B44:C44"/>
    <mergeCell ref="G39:H39"/>
    <mergeCell ref="G40:H40"/>
    <mergeCell ref="B50:J50"/>
    <mergeCell ref="A51:J51"/>
    <mergeCell ref="B49:J49"/>
    <mergeCell ref="B52:J52"/>
    <mergeCell ref="B53:J53"/>
    <mergeCell ref="B58:J58"/>
    <mergeCell ref="A55:A57"/>
    <mergeCell ref="B68:J68"/>
    <mergeCell ref="A71:J71"/>
    <mergeCell ref="A72:A73"/>
    <mergeCell ref="B72:C73"/>
    <mergeCell ref="D72:J72"/>
    <mergeCell ref="D73:J73"/>
    <mergeCell ref="B82:C82"/>
    <mergeCell ref="D82:J82"/>
    <mergeCell ref="B83:C83"/>
    <mergeCell ref="D83:J83"/>
    <mergeCell ref="B84:C84"/>
    <mergeCell ref="D84:J84"/>
    <mergeCell ref="B85:C85"/>
    <mergeCell ref="D85:J85"/>
    <mergeCell ref="B86:C86"/>
    <mergeCell ref="D86:J86"/>
    <mergeCell ref="B87:C87"/>
    <mergeCell ref="D87:J87"/>
    <mergeCell ref="B88:C88"/>
    <mergeCell ref="D88:J88"/>
    <mergeCell ref="B89:C89"/>
    <mergeCell ref="D89:J89"/>
    <mergeCell ref="B39:C39"/>
    <mergeCell ref="B40:C40"/>
    <mergeCell ref="B41:C41"/>
    <mergeCell ref="D39:F39"/>
    <mergeCell ref="D40:F40"/>
    <mergeCell ref="D41:F41"/>
    <mergeCell ref="D92:J92"/>
    <mergeCell ref="B93:C93"/>
    <mergeCell ref="D93:J93"/>
    <mergeCell ref="B94:C94"/>
    <mergeCell ref="D94:J94"/>
    <mergeCell ref="B90:C90"/>
    <mergeCell ref="D90:J90"/>
    <mergeCell ref="B91:C91"/>
    <mergeCell ref="D91:J91"/>
    <mergeCell ref="A97:A99"/>
    <mergeCell ref="B97:C99"/>
    <mergeCell ref="D97:F98"/>
    <mergeCell ref="G97:H98"/>
    <mergeCell ref="D99:F99"/>
    <mergeCell ref="G99:H99"/>
    <mergeCell ref="B108:C108"/>
    <mergeCell ref="D108:F108"/>
    <mergeCell ref="G108:H108"/>
    <mergeCell ref="A114:J114"/>
    <mergeCell ref="B123:C123"/>
    <mergeCell ref="D123:F123"/>
    <mergeCell ref="G123:H123"/>
    <mergeCell ref="A115:A116"/>
    <mergeCell ref="D115:J115"/>
    <mergeCell ref="D116:J116"/>
    <mergeCell ref="B120:C122"/>
    <mergeCell ref="B111:J111"/>
    <mergeCell ref="B112:J112"/>
    <mergeCell ref="A120:A122"/>
    <mergeCell ref="D120:F121"/>
    <mergeCell ref="G120:H121"/>
    <mergeCell ref="D122:F122"/>
    <mergeCell ref="G122:H122"/>
    <mergeCell ref="B117:C117"/>
    <mergeCell ref="D117:J117"/>
    <mergeCell ref="B102:C102"/>
    <mergeCell ref="D38:F38"/>
    <mergeCell ref="G38:H38"/>
    <mergeCell ref="B103:C103"/>
    <mergeCell ref="B104:C104"/>
    <mergeCell ref="B105:C105"/>
    <mergeCell ref="D103:F103"/>
    <mergeCell ref="B95:C95"/>
    <mergeCell ref="D95:J95"/>
    <mergeCell ref="B92:C92"/>
    <mergeCell ref="B145:C145"/>
    <mergeCell ref="D145:F145"/>
    <mergeCell ref="G145:H145"/>
    <mergeCell ref="B142:C142"/>
    <mergeCell ref="D142:F142"/>
    <mergeCell ref="G142:H142"/>
    <mergeCell ref="B135:C135"/>
    <mergeCell ref="D136:J136"/>
    <mergeCell ref="D134:J134"/>
    <mergeCell ref="D135:J135"/>
    <mergeCell ref="A48:J48"/>
    <mergeCell ref="B143:C143"/>
    <mergeCell ref="D143:F143"/>
    <mergeCell ref="G143:H143"/>
    <mergeCell ref="B100:C100"/>
    <mergeCell ref="B101:C101"/>
  </mergeCells>
  <printOptions horizontalCentered="1"/>
  <pageMargins left="0.1968503937007874" right="0.2755905511811024" top="0.4330708661417323" bottom="0.11811023622047245" header="0.2362204724409449" footer="0.1968503937007874"/>
  <pageSetup fitToHeight="0" horizontalDpi="600" verticalDpi="600" orientation="landscape" paperSize="9" scale="55" r:id="rId2"/>
  <headerFooter scaleWithDoc="0">
    <oddFooter>&amp;L&amp;8Publicação: Diário Oficial do Município nº 58
Data: 24.03.2021&amp;R&amp;8&amp;P / &amp;N</oddFooter>
  </headerFooter>
  <rowBreaks count="3" manualBreakCount="3">
    <brk id="35" max="9" man="1"/>
    <brk id="69" max="9" man="1"/>
    <brk id="11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EX128"/>
  <sheetViews>
    <sheetView showGridLines="0" view="pageBreakPreview" zoomScaleSheetLayoutView="100" zoomScalePageLayoutView="0" workbookViewId="0" topLeftCell="A100">
      <selection activeCell="B74" sqref="B74:P74"/>
    </sheetView>
  </sheetViews>
  <sheetFormatPr defaultColWidth="7.8515625" defaultRowHeight="15" customHeight="1"/>
  <cols>
    <col min="1" max="1" width="63.7109375" style="35" customWidth="1"/>
    <col min="2" max="2" width="25.8515625" style="34" customWidth="1"/>
    <col min="3" max="3" width="34.00390625" style="34" bestFit="1" customWidth="1"/>
    <col min="4" max="4" width="24.8515625" style="35" customWidth="1"/>
    <col min="5" max="5" width="31.7109375" style="35" customWidth="1"/>
    <col min="6" max="13" width="7.8515625" style="34" hidden="1" customWidth="1"/>
    <col min="14" max="14" width="26.28125" style="34" customWidth="1"/>
    <col min="15" max="15" width="20.28125" style="37" customWidth="1"/>
    <col min="16" max="16" width="23.7109375" style="35" bestFit="1" customWidth="1"/>
    <col min="17" max="17" width="7.8515625" style="35" customWidth="1"/>
    <col min="18" max="18" width="9.00390625" style="35" bestFit="1" customWidth="1"/>
    <col min="19" max="19" width="7.8515625" style="35" customWidth="1"/>
    <col min="20" max="20" width="18.7109375" style="35" bestFit="1" customWidth="1"/>
    <col min="21" max="22" width="17.7109375" style="34" bestFit="1" customWidth="1"/>
    <col min="23" max="23" width="10.57421875" style="34" bestFit="1" customWidth="1"/>
    <col min="24" max="16384" width="7.8515625" style="34" customWidth="1"/>
  </cols>
  <sheetData>
    <row r="1" spans="1:20" s="401" customFormat="1" ht="15" customHeight="1">
      <c r="A1" s="1673" t="s">
        <v>325</v>
      </c>
      <c r="B1" s="1673"/>
      <c r="C1" s="1673"/>
      <c r="D1" s="1673"/>
      <c r="E1" s="1673"/>
      <c r="O1" s="402"/>
      <c r="P1" s="403"/>
      <c r="Q1" s="403"/>
      <c r="R1" s="403"/>
      <c r="S1" s="403"/>
      <c r="T1" s="403"/>
    </row>
    <row r="2" spans="1:20" s="401" customFormat="1" ht="15" customHeight="1">
      <c r="A2" s="1673" t="s">
        <v>326</v>
      </c>
      <c r="B2" s="1673"/>
      <c r="C2" s="1673"/>
      <c r="D2" s="1673"/>
      <c r="E2" s="1673"/>
      <c r="O2" s="402"/>
      <c r="P2" s="403"/>
      <c r="Q2" s="403"/>
      <c r="R2" s="403"/>
      <c r="S2" s="403"/>
      <c r="T2" s="403"/>
    </row>
    <row r="3" spans="1:20" s="401" customFormat="1" ht="15" customHeight="1">
      <c r="A3" s="73" t="s">
        <v>426</v>
      </c>
      <c r="B3" s="404"/>
      <c r="C3" s="404"/>
      <c r="D3" s="366"/>
      <c r="E3" s="366"/>
      <c r="N3" s="366"/>
      <c r="O3" s="402"/>
      <c r="P3" s="403"/>
      <c r="Q3" s="403"/>
      <c r="R3" s="403"/>
      <c r="S3" s="403"/>
      <c r="T3" s="403"/>
    </row>
    <row r="4" spans="1:20" s="401" customFormat="1" ht="15" customHeight="1">
      <c r="A4" s="73" t="s">
        <v>321</v>
      </c>
      <c r="B4" s="375"/>
      <c r="C4" s="375"/>
      <c r="D4" s="370"/>
      <c r="E4" s="366"/>
      <c r="N4" s="370"/>
      <c r="O4" s="402"/>
      <c r="P4" s="403"/>
      <c r="Q4" s="403"/>
      <c r="R4" s="403"/>
      <c r="S4" s="403"/>
      <c r="T4" s="403"/>
    </row>
    <row r="5" spans="1:20" s="347" customFormat="1" ht="15.75" customHeight="1">
      <c r="A5" s="346" t="str">
        <f>'Anexo 4 _ PREVID '!A5</f>
        <v>            Referência: JANEIRO-FEVEREIRO/2021; BIMESTRE: JANEIRO-FEVEREIRO/2021</v>
      </c>
      <c r="B5" s="405"/>
      <c r="C5" s="405"/>
      <c r="D5" s="405"/>
      <c r="E5" s="406"/>
      <c r="O5" s="934"/>
      <c r="P5" s="374"/>
      <c r="Q5" s="374"/>
      <c r="R5" s="374"/>
      <c r="S5" s="374"/>
      <c r="T5" s="374"/>
    </row>
    <row r="6" spans="1:20" s="388" customFormat="1" ht="15" customHeight="1">
      <c r="A6" s="408"/>
      <c r="B6" s="409"/>
      <c r="C6" s="409"/>
      <c r="D6" s="410"/>
      <c r="E6" s="408"/>
      <c r="O6" s="398"/>
      <c r="P6" s="399"/>
      <c r="Q6" s="399"/>
      <c r="R6" s="399"/>
      <c r="S6" s="399"/>
      <c r="T6" s="399"/>
    </row>
    <row r="7" spans="1:20" s="388" customFormat="1" ht="15" customHeight="1">
      <c r="A7" s="411" t="s">
        <v>244</v>
      </c>
      <c r="B7" s="398"/>
      <c r="C7" s="398"/>
      <c r="D7" s="412"/>
      <c r="E7" s="413"/>
      <c r="O7" s="398"/>
      <c r="P7" s="744"/>
      <c r="Q7" s="399"/>
      <c r="R7" s="399"/>
      <c r="S7" s="399"/>
      <c r="T7" s="399"/>
    </row>
    <row r="8" spans="1:20" s="388" customFormat="1" ht="26.25" customHeight="1">
      <c r="A8" s="1672" t="s">
        <v>379</v>
      </c>
      <c r="B8" s="1672"/>
      <c r="C8" s="1672"/>
      <c r="D8" s="1672"/>
      <c r="E8" s="1672"/>
      <c r="F8" s="1672"/>
      <c r="G8" s="1672"/>
      <c r="H8" s="1672"/>
      <c r="I8" s="1672"/>
      <c r="J8" s="1672"/>
      <c r="K8" s="1672"/>
      <c r="L8" s="1672"/>
      <c r="M8" s="1672"/>
      <c r="N8" s="1672"/>
      <c r="O8" s="1672"/>
      <c r="P8" s="1672"/>
      <c r="Q8" s="399"/>
      <c r="R8" s="399"/>
      <c r="S8" s="399"/>
      <c r="T8" s="399"/>
    </row>
    <row r="9" spans="1:22" s="388" customFormat="1" ht="15" customHeight="1">
      <c r="A9" s="1674" t="s">
        <v>332</v>
      </c>
      <c r="B9" s="1689" t="s">
        <v>163</v>
      </c>
      <c r="C9" s="1690"/>
      <c r="D9" s="1705" t="s">
        <v>542</v>
      </c>
      <c r="E9" s="1706"/>
      <c r="F9" s="1706"/>
      <c r="G9" s="1706"/>
      <c r="H9" s="1706"/>
      <c r="I9" s="1706"/>
      <c r="J9" s="1706"/>
      <c r="K9" s="1706"/>
      <c r="L9" s="1706"/>
      <c r="M9" s="1706"/>
      <c r="N9" s="1706"/>
      <c r="O9" s="1706"/>
      <c r="P9" s="1707"/>
      <c r="Q9" s="399"/>
      <c r="R9" s="399"/>
      <c r="S9" s="399"/>
      <c r="T9" s="414"/>
      <c r="V9" s="415"/>
    </row>
    <row r="10" spans="1:21" s="388" customFormat="1" ht="30" customHeight="1">
      <c r="A10" s="1675"/>
      <c r="B10" s="1691"/>
      <c r="C10" s="1692"/>
      <c r="D10" s="1676" t="s">
        <v>378</v>
      </c>
      <c r="E10" s="1677"/>
      <c r="F10" s="1677"/>
      <c r="G10" s="1677"/>
      <c r="H10" s="1677"/>
      <c r="I10" s="1677"/>
      <c r="J10" s="1677"/>
      <c r="K10" s="1677"/>
      <c r="L10" s="1677"/>
      <c r="M10" s="1677"/>
      <c r="N10" s="1677"/>
      <c r="O10" s="1677"/>
      <c r="P10" s="1678"/>
      <c r="Q10" s="399"/>
      <c r="R10" s="399"/>
      <c r="S10" s="399"/>
      <c r="T10" s="399"/>
      <c r="U10" s="416"/>
    </row>
    <row r="11" spans="1:21" s="388" customFormat="1" ht="15.75" customHeight="1">
      <c r="A11" s="763" t="s">
        <v>138</v>
      </c>
      <c r="B11" s="1693">
        <f>B12+B18+B19+B22+B31</f>
        <v>3252135280.14</v>
      </c>
      <c r="C11" s="1694"/>
      <c r="D11" s="1729">
        <f>D12+D18+D19+D22+D31</f>
        <v>562999499.15</v>
      </c>
      <c r="E11" s="1730"/>
      <c r="F11" s="1730"/>
      <c r="G11" s="1730"/>
      <c r="H11" s="1730"/>
      <c r="I11" s="1730"/>
      <c r="J11" s="1730"/>
      <c r="K11" s="1730"/>
      <c r="L11" s="1730"/>
      <c r="M11" s="1730"/>
      <c r="N11" s="1730"/>
      <c r="O11" s="1730"/>
      <c r="P11" s="1731"/>
      <c r="Q11" s="399"/>
      <c r="R11" s="399"/>
      <c r="S11" s="399"/>
      <c r="T11" s="417"/>
      <c r="U11" s="415"/>
    </row>
    <row r="12" spans="1:20" s="388" customFormat="1" ht="15.75" customHeight="1">
      <c r="A12" s="764" t="s">
        <v>460</v>
      </c>
      <c r="B12" s="1681">
        <f>B13+B14+B15+B16+B17</f>
        <v>853440801</v>
      </c>
      <c r="C12" s="1682"/>
      <c r="D12" s="1667">
        <f>D13+D14+D15+D16+D17</f>
        <v>130841260.16999999</v>
      </c>
      <c r="E12" s="1668"/>
      <c r="F12" s="1668"/>
      <c r="G12" s="1668"/>
      <c r="H12" s="1668"/>
      <c r="I12" s="1668"/>
      <c r="J12" s="1668"/>
      <c r="K12" s="1668"/>
      <c r="L12" s="1668"/>
      <c r="M12" s="1668"/>
      <c r="N12" s="1668"/>
      <c r="O12" s="1668"/>
      <c r="P12" s="1669"/>
      <c r="Q12" s="399"/>
      <c r="R12" s="399"/>
      <c r="S12" s="399"/>
      <c r="T12" s="414"/>
    </row>
    <row r="13" spans="1:20" s="388" customFormat="1" ht="15.75" customHeight="1">
      <c r="A13" s="764" t="s">
        <v>373</v>
      </c>
      <c r="B13" s="1658">
        <v>145123959.01</v>
      </c>
      <c r="C13" s="1659"/>
      <c r="D13" s="1662">
        <f>6779572.4-326.85</f>
        <v>6779245.550000001</v>
      </c>
      <c r="E13" s="1663"/>
      <c r="F13" s="1663"/>
      <c r="G13" s="1663"/>
      <c r="H13" s="1663"/>
      <c r="I13" s="1663"/>
      <c r="J13" s="1663"/>
      <c r="K13" s="1663"/>
      <c r="L13" s="1663"/>
      <c r="M13" s="1663"/>
      <c r="N13" s="1663"/>
      <c r="O13" s="1663"/>
      <c r="P13" s="1664"/>
      <c r="Q13" s="399"/>
      <c r="R13" s="399"/>
      <c r="S13" s="399"/>
      <c r="T13" s="414"/>
    </row>
    <row r="14" spans="1:20" s="388" customFormat="1" ht="15.75" customHeight="1">
      <c r="A14" s="764" t="s">
        <v>374</v>
      </c>
      <c r="B14" s="1658">
        <v>558589872</v>
      </c>
      <c r="C14" s="1659"/>
      <c r="D14" s="1662">
        <f>94385384.33-1016.31</f>
        <v>94384368.02</v>
      </c>
      <c r="E14" s="1663"/>
      <c r="F14" s="1663"/>
      <c r="G14" s="1663"/>
      <c r="H14" s="1663"/>
      <c r="I14" s="1663"/>
      <c r="J14" s="1663"/>
      <c r="K14" s="1663"/>
      <c r="L14" s="1663"/>
      <c r="M14" s="1663"/>
      <c r="N14" s="1663"/>
      <c r="O14" s="1663"/>
      <c r="P14" s="1664"/>
      <c r="Q14" s="399"/>
      <c r="R14" s="399"/>
      <c r="S14" s="399"/>
      <c r="T14" s="414"/>
    </row>
    <row r="15" spans="1:20" s="388" customFormat="1" ht="15.75" customHeight="1">
      <c r="A15" s="764" t="s">
        <v>375</v>
      </c>
      <c r="B15" s="1658">
        <v>29356119</v>
      </c>
      <c r="C15" s="1659"/>
      <c r="D15" s="1662">
        <v>5338397.89</v>
      </c>
      <c r="E15" s="1663"/>
      <c r="F15" s="1663"/>
      <c r="G15" s="1663"/>
      <c r="H15" s="1663"/>
      <c r="I15" s="1663"/>
      <c r="J15" s="1663"/>
      <c r="K15" s="1663"/>
      <c r="L15" s="1663"/>
      <c r="M15" s="1663"/>
      <c r="N15" s="1663"/>
      <c r="O15" s="1663"/>
      <c r="P15" s="1664"/>
      <c r="Q15" s="399"/>
      <c r="R15" s="399"/>
      <c r="S15" s="399"/>
      <c r="T15" s="414"/>
    </row>
    <row r="16" spans="1:20" s="388" customFormat="1" ht="15.75" customHeight="1">
      <c r="A16" s="764" t="s">
        <v>376</v>
      </c>
      <c r="B16" s="1658">
        <v>96272994</v>
      </c>
      <c r="C16" s="1659"/>
      <c r="D16" s="1662">
        <v>18665643.21</v>
      </c>
      <c r="E16" s="1663"/>
      <c r="F16" s="1663"/>
      <c r="G16" s="1663"/>
      <c r="H16" s="1663"/>
      <c r="I16" s="1663"/>
      <c r="J16" s="1663"/>
      <c r="K16" s="1663"/>
      <c r="L16" s="1663"/>
      <c r="M16" s="1663"/>
      <c r="N16" s="1663"/>
      <c r="O16" s="1663"/>
      <c r="P16" s="1664"/>
      <c r="Q16" s="399"/>
      <c r="R16" s="399"/>
      <c r="S16" s="399"/>
      <c r="T16" s="414"/>
    </row>
    <row r="17" spans="1:20" s="429" customFormat="1" ht="15.75" customHeight="1">
      <c r="A17" s="764" t="s">
        <v>377</v>
      </c>
      <c r="B17" s="1658">
        <f>853440801-829342944.01</f>
        <v>24097856.99000001</v>
      </c>
      <c r="C17" s="1659"/>
      <c r="D17" s="1662">
        <f>130842603.33-125167654.67-1343.16</f>
        <v>5673605.499999996</v>
      </c>
      <c r="E17" s="1663"/>
      <c r="F17" s="1663"/>
      <c r="G17" s="1663"/>
      <c r="H17" s="1663"/>
      <c r="I17" s="1663"/>
      <c r="J17" s="1663"/>
      <c r="K17" s="1663"/>
      <c r="L17" s="1663"/>
      <c r="M17" s="1663"/>
      <c r="N17" s="1663"/>
      <c r="O17" s="1663"/>
      <c r="P17" s="1664"/>
      <c r="Q17" s="400"/>
      <c r="R17" s="400"/>
      <c r="S17" s="400"/>
      <c r="T17" s="743"/>
    </row>
    <row r="18" spans="1:154" s="388" customFormat="1" ht="15.75" customHeight="1">
      <c r="A18" s="764" t="s">
        <v>424</v>
      </c>
      <c r="B18" s="1681">
        <f>'Anexo 1 _ BAL ORC'!B15</f>
        <v>165887575</v>
      </c>
      <c r="C18" s="1682"/>
      <c r="D18" s="1667">
        <v>23230498.96</v>
      </c>
      <c r="E18" s="1668"/>
      <c r="F18" s="1668"/>
      <c r="G18" s="1668"/>
      <c r="H18" s="1668"/>
      <c r="I18" s="1668"/>
      <c r="J18" s="1668"/>
      <c r="K18" s="1668"/>
      <c r="L18" s="1668"/>
      <c r="M18" s="1668"/>
      <c r="N18" s="1668"/>
      <c r="O18" s="1668"/>
      <c r="P18" s="1669"/>
      <c r="Q18" s="418"/>
      <c r="R18" s="418"/>
      <c r="S18" s="418"/>
      <c r="T18" s="418"/>
      <c r="U18" s="420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21"/>
      <c r="BE18" s="421"/>
      <c r="BF18" s="421"/>
      <c r="BG18" s="421"/>
      <c r="BH18" s="421"/>
      <c r="BI18" s="421"/>
      <c r="BJ18" s="421"/>
      <c r="BK18" s="421"/>
      <c r="BL18" s="421"/>
      <c r="BM18" s="421"/>
      <c r="BN18" s="421"/>
      <c r="BO18" s="421"/>
      <c r="BP18" s="421"/>
      <c r="BQ18" s="421"/>
      <c r="BR18" s="421"/>
      <c r="BS18" s="421"/>
      <c r="BT18" s="421"/>
      <c r="BU18" s="421"/>
      <c r="BV18" s="421"/>
      <c r="BW18" s="421"/>
      <c r="BX18" s="421"/>
      <c r="BY18" s="421"/>
      <c r="BZ18" s="421"/>
      <c r="CA18" s="421"/>
      <c r="CB18" s="421"/>
      <c r="CC18" s="421"/>
      <c r="CD18" s="421"/>
      <c r="CE18" s="421"/>
      <c r="CF18" s="421"/>
      <c r="CG18" s="421"/>
      <c r="CH18" s="421"/>
      <c r="CI18" s="421"/>
      <c r="CJ18" s="421"/>
      <c r="CK18" s="421"/>
      <c r="CL18" s="421"/>
      <c r="CM18" s="421"/>
      <c r="CN18" s="421"/>
      <c r="CO18" s="421"/>
      <c r="CP18" s="421"/>
      <c r="CQ18" s="421"/>
      <c r="CR18" s="421"/>
      <c r="CS18" s="421"/>
      <c r="CT18" s="421"/>
      <c r="CU18" s="421"/>
      <c r="CV18" s="421"/>
      <c r="CW18" s="421"/>
      <c r="CX18" s="421"/>
      <c r="CY18" s="421"/>
      <c r="CZ18" s="421"/>
      <c r="DA18" s="421"/>
      <c r="DB18" s="421"/>
      <c r="DC18" s="421"/>
      <c r="DD18" s="421"/>
      <c r="DE18" s="421"/>
      <c r="DF18" s="421"/>
      <c r="DG18" s="421"/>
      <c r="DH18" s="421"/>
      <c r="DI18" s="421"/>
      <c r="DJ18" s="421"/>
      <c r="DK18" s="421"/>
      <c r="DL18" s="421"/>
      <c r="DM18" s="421"/>
      <c r="DN18" s="421"/>
      <c r="DO18" s="421"/>
      <c r="DP18" s="421"/>
      <c r="DQ18" s="421"/>
      <c r="DR18" s="421"/>
      <c r="DS18" s="421"/>
      <c r="DT18" s="421"/>
      <c r="DU18" s="421"/>
      <c r="DV18" s="421"/>
      <c r="DW18" s="421"/>
      <c r="DX18" s="421"/>
      <c r="DY18" s="421"/>
      <c r="DZ18" s="421"/>
      <c r="EA18" s="421"/>
      <c r="EB18" s="421"/>
      <c r="EC18" s="421"/>
      <c r="ED18" s="421"/>
      <c r="EE18" s="421"/>
      <c r="EF18" s="421"/>
      <c r="EG18" s="421"/>
      <c r="EH18" s="421"/>
      <c r="EI18" s="421"/>
      <c r="EJ18" s="421"/>
      <c r="EK18" s="421"/>
      <c r="EL18" s="421"/>
      <c r="EM18" s="421"/>
      <c r="EN18" s="421"/>
      <c r="EO18" s="421"/>
      <c r="EP18" s="421"/>
      <c r="EQ18" s="421"/>
      <c r="ER18" s="421"/>
      <c r="ES18" s="421"/>
      <c r="ET18" s="421"/>
      <c r="EU18" s="421"/>
      <c r="EV18" s="421"/>
      <c r="EW18" s="421"/>
      <c r="EX18" s="421"/>
    </row>
    <row r="19" spans="1:154" s="425" customFormat="1" ht="15.75" customHeight="1">
      <c r="A19" s="764" t="s">
        <v>380</v>
      </c>
      <c r="B19" s="1681">
        <f>B20+B21</f>
        <v>47927261</v>
      </c>
      <c r="C19" s="1682"/>
      <c r="D19" s="1667">
        <f>D20+D21</f>
        <v>956834.2</v>
      </c>
      <c r="E19" s="1668"/>
      <c r="F19" s="1668"/>
      <c r="G19" s="1668"/>
      <c r="H19" s="1668"/>
      <c r="I19" s="1668"/>
      <c r="J19" s="1668"/>
      <c r="K19" s="1668"/>
      <c r="L19" s="1668"/>
      <c r="M19" s="1668"/>
      <c r="N19" s="1668"/>
      <c r="O19" s="1668"/>
      <c r="P19" s="1669"/>
      <c r="Q19" s="426"/>
      <c r="R19" s="426"/>
      <c r="S19" s="426"/>
      <c r="T19" s="426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/>
      <c r="CA19" s="427"/>
      <c r="CB19" s="427"/>
      <c r="CC19" s="427"/>
      <c r="CD19" s="427"/>
      <c r="CE19" s="427"/>
      <c r="CF19" s="427"/>
      <c r="CG19" s="427"/>
      <c r="CH19" s="427"/>
      <c r="CI19" s="427"/>
      <c r="CJ19" s="427"/>
      <c r="CK19" s="427"/>
      <c r="CL19" s="427"/>
      <c r="CM19" s="427"/>
      <c r="CN19" s="427"/>
      <c r="CO19" s="427"/>
      <c r="CP19" s="427"/>
      <c r="CQ19" s="427"/>
      <c r="CR19" s="427"/>
      <c r="CS19" s="427"/>
      <c r="CT19" s="427"/>
      <c r="CU19" s="427"/>
      <c r="CV19" s="427"/>
      <c r="CW19" s="427"/>
      <c r="CX19" s="427"/>
      <c r="CY19" s="427"/>
      <c r="CZ19" s="427"/>
      <c r="DA19" s="427"/>
      <c r="DB19" s="427"/>
      <c r="DC19" s="427"/>
      <c r="DD19" s="427"/>
      <c r="DE19" s="427"/>
      <c r="DF19" s="427"/>
      <c r="DG19" s="427"/>
      <c r="DH19" s="427"/>
      <c r="DI19" s="427"/>
      <c r="DJ19" s="427"/>
      <c r="DK19" s="427"/>
      <c r="DL19" s="427"/>
      <c r="DM19" s="427"/>
      <c r="DN19" s="427"/>
      <c r="DO19" s="427"/>
      <c r="DP19" s="427"/>
      <c r="DQ19" s="427"/>
      <c r="DR19" s="427"/>
      <c r="DS19" s="427"/>
      <c r="DT19" s="427"/>
      <c r="DU19" s="427"/>
      <c r="DV19" s="427"/>
      <c r="DW19" s="427"/>
      <c r="DX19" s="427"/>
      <c r="DY19" s="427"/>
      <c r="DZ19" s="427"/>
      <c r="EA19" s="427"/>
      <c r="EB19" s="427"/>
      <c r="EC19" s="427"/>
      <c r="ED19" s="427"/>
      <c r="EE19" s="427"/>
      <c r="EF19" s="427"/>
      <c r="EG19" s="427"/>
      <c r="EH19" s="427"/>
      <c r="EI19" s="427"/>
      <c r="EJ19" s="427"/>
      <c r="EK19" s="427"/>
      <c r="EL19" s="427"/>
      <c r="EM19" s="427"/>
      <c r="EN19" s="427"/>
      <c r="EO19" s="427"/>
      <c r="EP19" s="427"/>
      <c r="EQ19" s="427"/>
      <c r="ER19" s="427"/>
      <c r="ES19" s="427"/>
      <c r="ET19" s="427"/>
      <c r="EU19" s="427"/>
      <c r="EV19" s="427"/>
      <c r="EW19" s="427"/>
      <c r="EX19" s="427"/>
    </row>
    <row r="20" spans="1:154" s="388" customFormat="1" ht="15.75" customHeight="1">
      <c r="A20" s="765" t="s">
        <v>381</v>
      </c>
      <c r="B20" s="1658">
        <f>'Anexo 1 _ BAL ORC'!B20</f>
        <v>47031681</v>
      </c>
      <c r="C20" s="1659"/>
      <c r="D20" s="1662">
        <v>902160.85</v>
      </c>
      <c r="E20" s="1663"/>
      <c r="F20" s="1663"/>
      <c r="G20" s="1663"/>
      <c r="H20" s="1663"/>
      <c r="I20" s="1663"/>
      <c r="J20" s="1663"/>
      <c r="K20" s="1663"/>
      <c r="L20" s="1663"/>
      <c r="M20" s="1663"/>
      <c r="N20" s="1663"/>
      <c r="O20" s="1663"/>
      <c r="P20" s="1664"/>
      <c r="Q20" s="418"/>
      <c r="R20" s="418"/>
      <c r="S20" s="418"/>
      <c r="T20" s="418"/>
      <c r="U20" s="421"/>
      <c r="V20" s="428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  <c r="BF20" s="421"/>
      <c r="BG20" s="421"/>
      <c r="BH20" s="421"/>
      <c r="BI20" s="421"/>
      <c r="BJ20" s="421"/>
      <c r="BK20" s="421"/>
      <c r="BL20" s="421"/>
      <c r="BM20" s="421"/>
      <c r="BN20" s="421"/>
      <c r="BO20" s="421"/>
      <c r="BP20" s="421"/>
      <c r="BQ20" s="421"/>
      <c r="BR20" s="421"/>
      <c r="BS20" s="421"/>
      <c r="BT20" s="421"/>
      <c r="BU20" s="421"/>
      <c r="BV20" s="421"/>
      <c r="BW20" s="421"/>
      <c r="BX20" s="421"/>
      <c r="BY20" s="421"/>
      <c r="BZ20" s="421"/>
      <c r="CA20" s="421"/>
      <c r="CB20" s="421"/>
      <c r="CC20" s="421"/>
      <c r="CD20" s="421"/>
      <c r="CE20" s="421"/>
      <c r="CF20" s="421"/>
      <c r="CG20" s="421"/>
      <c r="CH20" s="421"/>
      <c r="CI20" s="421"/>
      <c r="CJ20" s="421"/>
      <c r="CK20" s="421"/>
      <c r="CL20" s="421"/>
      <c r="CM20" s="421"/>
      <c r="CN20" s="421"/>
      <c r="CO20" s="421"/>
      <c r="CP20" s="421"/>
      <c r="CQ20" s="421"/>
      <c r="CR20" s="421"/>
      <c r="CS20" s="421"/>
      <c r="CT20" s="421"/>
      <c r="CU20" s="421"/>
      <c r="CV20" s="421"/>
      <c r="CW20" s="421"/>
      <c r="CX20" s="421"/>
      <c r="CY20" s="421"/>
      <c r="CZ20" s="421"/>
      <c r="DA20" s="421"/>
      <c r="DB20" s="421"/>
      <c r="DC20" s="421"/>
      <c r="DD20" s="421"/>
      <c r="DE20" s="421"/>
      <c r="DF20" s="421"/>
      <c r="DG20" s="421"/>
      <c r="DH20" s="421"/>
      <c r="DI20" s="421"/>
      <c r="DJ20" s="421"/>
      <c r="DK20" s="421"/>
      <c r="DL20" s="421"/>
      <c r="DM20" s="421"/>
      <c r="DN20" s="421"/>
      <c r="DO20" s="421"/>
      <c r="DP20" s="421"/>
      <c r="DQ20" s="421"/>
      <c r="DR20" s="421"/>
      <c r="DS20" s="421"/>
      <c r="DT20" s="421"/>
      <c r="DU20" s="421"/>
      <c r="DV20" s="421"/>
      <c r="DW20" s="421"/>
      <c r="DX20" s="421"/>
      <c r="DY20" s="421"/>
      <c r="DZ20" s="421"/>
      <c r="EA20" s="421"/>
      <c r="EB20" s="421"/>
      <c r="EC20" s="421"/>
      <c r="ED20" s="421"/>
      <c r="EE20" s="421"/>
      <c r="EF20" s="421"/>
      <c r="EG20" s="421"/>
      <c r="EH20" s="421"/>
      <c r="EI20" s="421"/>
      <c r="EJ20" s="421"/>
      <c r="EK20" s="421"/>
      <c r="EL20" s="421"/>
      <c r="EM20" s="421"/>
      <c r="EN20" s="421"/>
      <c r="EO20" s="421"/>
      <c r="EP20" s="421"/>
      <c r="EQ20" s="421"/>
      <c r="ER20" s="421"/>
      <c r="ES20" s="421"/>
      <c r="ET20" s="421"/>
      <c r="EU20" s="421"/>
      <c r="EV20" s="421"/>
      <c r="EW20" s="421"/>
      <c r="EX20" s="421"/>
    </row>
    <row r="21" spans="1:154" s="388" customFormat="1" ht="15.75" customHeight="1">
      <c r="A21" s="766" t="s">
        <v>382</v>
      </c>
      <c r="B21" s="1658">
        <f>'Anexo 1 _ BAL ORC'!B19+'Anexo 1 _ BAL ORC'!B21</f>
        <v>895580</v>
      </c>
      <c r="C21" s="1659"/>
      <c r="D21" s="1662">
        <v>54673.35</v>
      </c>
      <c r="E21" s="1663"/>
      <c r="F21" s="1663"/>
      <c r="G21" s="1663"/>
      <c r="H21" s="1663"/>
      <c r="I21" s="1663"/>
      <c r="J21" s="1663"/>
      <c r="K21" s="1663"/>
      <c r="L21" s="1663"/>
      <c r="M21" s="1663"/>
      <c r="N21" s="1663"/>
      <c r="O21" s="1663"/>
      <c r="P21" s="1664"/>
      <c r="Q21" s="418"/>
      <c r="R21" s="418"/>
      <c r="S21" s="418"/>
      <c r="T21" s="418"/>
      <c r="U21" s="421"/>
      <c r="V21" s="420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1"/>
      <c r="CI21" s="421"/>
      <c r="CJ21" s="421"/>
      <c r="CK21" s="421"/>
      <c r="CL21" s="421"/>
      <c r="CM21" s="421"/>
      <c r="CN21" s="421"/>
      <c r="CO21" s="421"/>
      <c r="CP21" s="421"/>
      <c r="CQ21" s="421"/>
      <c r="CR21" s="421"/>
      <c r="CS21" s="421"/>
      <c r="CT21" s="421"/>
      <c r="CU21" s="421"/>
      <c r="CV21" s="421"/>
      <c r="CW21" s="421"/>
      <c r="CX21" s="421"/>
      <c r="CY21" s="421"/>
      <c r="CZ21" s="421"/>
      <c r="DA21" s="421"/>
      <c r="DB21" s="421"/>
      <c r="DC21" s="421"/>
      <c r="DD21" s="421"/>
      <c r="DE21" s="421"/>
      <c r="DF21" s="421"/>
      <c r="DG21" s="421"/>
      <c r="DH21" s="421"/>
      <c r="DI21" s="421"/>
      <c r="DJ21" s="421"/>
      <c r="DK21" s="421"/>
      <c r="DL21" s="421"/>
      <c r="DM21" s="421"/>
      <c r="DN21" s="421"/>
      <c r="DO21" s="421"/>
      <c r="DP21" s="421"/>
      <c r="DQ21" s="421"/>
      <c r="DR21" s="421"/>
      <c r="DS21" s="421"/>
      <c r="DT21" s="421"/>
      <c r="DU21" s="421"/>
      <c r="DV21" s="421"/>
      <c r="DW21" s="421"/>
      <c r="DX21" s="421"/>
      <c r="DY21" s="421"/>
      <c r="DZ21" s="421"/>
      <c r="EA21" s="421"/>
      <c r="EB21" s="421"/>
      <c r="EC21" s="421"/>
      <c r="ED21" s="421"/>
      <c r="EE21" s="421"/>
      <c r="EF21" s="421"/>
      <c r="EG21" s="421"/>
      <c r="EH21" s="421"/>
      <c r="EI21" s="421"/>
      <c r="EJ21" s="421"/>
      <c r="EK21" s="421"/>
      <c r="EL21" s="421"/>
      <c r="EM21" s="421"/>
      <c r="EN21" s="421"/>
      <c r="EO21" s="421"/>
      <c r="EP21" s="421"/>
      <c r="EQ21" s="421"/>
      <c r="ER21" s="421"/>
      <c r="ES21" s="421"/>
      <c r="ET21" s="421"/>
      <c r="EU21" s="421"/>
      <c r="EV21" s="421"/>
      <c r="EW21" s="421"/>
      <c r="EX21" s="421"/>
    </row>
    <row r="22" spans="1:154" s="429" customFormat="1" ht="15.75" customHeight="1">
      <c r="A22" s="764" t="s">
        <v>140</v>
      </c>
      <c r="B22" s="1681">
        <f>B23+B24+B25+B26+B27+B28+B29+B30</f>
        <v>1967772245.1399999</v>
      </c>
      <c r="C22" s="1682"/>
      <c r="D22" s="1667">
        <f>D23+D24+D25+D26+D27+D28+D29+D30</f>
        <v>403258269.73</v>
      </c>
      <c r="E22" s="1668"/>
      <c r="F22" s="1668"/>
      <c r="G22" s="1668"/>
      <c r="H22" s="1668"/>
      <c r="I22" s="1668"/>
      <c r="J22" s="1668"/>
      <c r="K22" s="1668"/>
      <c r="L22" s="1668"/>
      <c r="M22" s="1668"/>
      <c r="N22" s="1668"/>
      <c r="O22" s="1668"/>
      <c r="P22" s="1669"/>
      <c r="Q22" s="426"/>
      <c r="R22" s="426"/>
      <c r="S22" s="426"/>
      <c r="T22" s="430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427"/>
      <c r="BR22" s="427"/>
      <c r="BS22" s="427"/>
      <c r="BT22" s="427"/>
      <c r="BU22" s="427"/>
      <c r="BV22" s="427"/>
      <c r="BW22" s="427"/>
      <c r="BX22" s="427"/>
      <c r="BY22" s="427"/>
      <c r="BZ22" s="427"/>
      <c r="CA22" s="427"/>
      <c r="CB22" s="427"/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427"/>
      <c r="CO22" s="427"/>
      <c r="CP22" s="427"/>
      <c r="CQ22" s="427"/>
      <c r="CR22" s="427"/>
      <c r="CS22" s="427"/>
      <c r="CT22" s="427"/>
      <c r="CU22" s="427"/>
      <c r="CV22" s="427"/>
      <c r="CW22" s="427"/>
      <c r="CX22" s="427"/>
      <c r="CY22" s="427"/>
      <c r="CZ22" s="427"/>
      <c r="DA22" s="427"/>
      <c r="DB22" s="427"/>
      <c r="DC22" s="427"/>
      <c r="DD22" s="427"/>
      <c r="DE22" s="427"/>
      <c r="DF22" s="427"/>
      <c r="DG22" s="427"/>
      <c r="DH22" s="427"/>
      <c r="DI22" s="427"/>
      <c r="DJ22" s="427"/>
      <c r="DK22" s="427"/>
      <c r="DL22" s="427"/>
      <c r="DM22" s="427"/>
      <c r="DN22" s="427"/>
      <c r="DO22" s="427"/>
      <c r="DP22" s="427"/>
      <c r="DQ22" s="427"/>
      <c r="DR22" s="427"/>
      <c r="DS22" s="427"/>
      <c r="DT22" s="427"/>
      <c r="DU22" s="427"/>
      <c r="DV22" s="427"/>
      <c r="DW22" s="427"/>
      <c r="DX22" s="427"/>
      <c r="DY22" s="427"/>
      <c r="DZ22" s="427"/>
      <c r="EA22" s="427"/>
      <c r="EB22" s="427"/>
      <c r="EC22" s="427"/>
      <c r="ED22" s="427"/>
      <c r="EE22" s="427"/>
      <c r="EF22" s="427"/>
      <c r="EG22" s="427"/>
      <c r="EH22" s="427"/>
      <c r="EI22" s="427"/>
      <c r="EJ22" s="427"/>
      <c r="EK22" s="427"/>
      <c r="EL22" s="427"/>
      <c r="EM22" s="427"/>
      <c r="EN22" s="427"/>
      <c r="EO22" s="427"/>
      <c r="EP22" s="427"/>
      <c r="EQ22" s="427"/>
      <c r="ER22" s="427"/>
      <c r="ES22" s="427"/>
      <c r="ET22" s="427"/>
      <c r="EU22" s="427"/>
      <c r="EV22" s="427"/>
      <c r="EW22" s="427"/>
      <c r="EX22" s="427"/>
    </row>
    <row r="23" spans="1:154" s="388" customFormat="1" ht="15.75" customHeight="1">
      <c r="A23" s="766" t="s">
        <v>252</v>
      </c>
      <c r="B23" s="1658">
        <f>507265201+20646288+20603584-101453041</f>
        <v>447062032</v>
      </c>
      <c r="C23" s="1659"/>
      <c r="D23" s="1662">
        <f>133089305.15-26617860.99</f>
        <v>106471444.16000001</v>
      </c>
      <c r="E23" s="1663"/>
      <c r="F23" s="1663"/>
      <c r="G23" s="1663"/>
      <c r="H23" s="1663"/>
      <c r="I23" s="1663"/>
      <c r="J23" s="1663"/>
      <c r="K23" s="1663"/>
      <c r="L23" s="1663"/>
      <c r="M23" s="1663"/>
      <c r="N23" s="1663"/>
      <c r="O23" s="1663"/>
      <c r="P23" s="1664"/>
      <c r="Q23" s="418"/>
      <c r="R23" s="418"/>
      <c r="S23" s="418"/>
      <c r="T23" s="419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1"/>
      <c r="CC23" s="421"/>
      <c r="CD23" s="421"/>
      <c r="CE23" s="421"/>
      <c r="CF23" s="421"/>
      <c r="CG23" s="421"/>
      <c r="CH23" s="421"/>
      <c r="CI23" s="421"/>
      <c r="CJ23" s="421"/>
      <c r="CK23" s="421"/>
      <c r="CL23" s="421"/>
      <c r="CM23" s="421"/>
      <c r="CN23" s="421"/>
      <c r="CO23" s="421"/>
      <c r="CP23" s="421"/>
      <c r="CQ23" s="421"/>
      <c r="CR23" s="421"/>
      <c r="CS23" s="421"/>
      <c r="CT23" s="421"/>
      <c r="CU23" s="421"/>
      <c r="CV23" s="421"/>
      <c r="CW23" s="421"/>
      <c r="CX23" s="421"/>
      <c r="CY23" s="421"/>
      <c r="CZ23" s="421"/>
      <c r="DA23" s="421"/>
      <c r="DB23" s="421"/>
      <c r="DC23" s="421"/>
      <c r="DD23" s="421"/>
      <c r="DE23" s="421"/>
      <c r="DF23" s="421"/>
      <c r="DG23" s="421"/>
      <c r="DH23" s="421"/>
      <c r="DI23" s="421"/>
      <c r="DJ23" s="421"/>
      <c r="DK23" s="421"/>
      <c r="DL23" s="421"/>
      <c r="DM23" s="421"/>
      <c r="DN23" s="421"/>
      <c r="DO23" s="421"/>
      <c r="DP23" s="421"/>
      <c r="DQ23" s="421"/>
      <c r="DR23" s="421"/>
      <c r="DS23" s="421"/>
      <c r="DT23" s="421"/>
      <c r="DU23" s="421"/>
      <c r="DV23" s="421"/>
      <c r="DW23" s="421"/>
      <c r="DX23" s="421"/>
      <c r="DY23" s="421"/>
      <c r="DZ23" s="421"/>
      <c r="EA23" s="421"/>
      <c r="EB23" s="421"/>
      <c r="EC23" s="421"/>
      <c r="ED23" s="421"/>
      <c r="EE23" s="421"/>
      <c r="EF23" s="421"/>
      <c r="EG23" s="421"/>
      <c r="EH23" s="421"/>
      <c r="EI23" s="421"/>
      <c r="EJ23" s="421"/>
      <c r="EK23" s="421"/>
      <c r="EL23" s="421"/>
      <c r="EM23" s="421"/>
      <c r="EN23" s="421"/>
      <c r="EO23" s="421"/>
      <c r="EP23" s="421"/>
      <c r="EQ23" s="421"/>
      <c r="ER23" s="421"/>
      <c r="ES23" s="421"/>
      <c r="ET23" s="421"/>
      <c r="EU23" s="421"/>
      <c r="EV23" s="421"/>
      <c r="EW23" s="421"/>
      <c r="EX23" s="421"/>
    </row>
    <row r="24" spans="1:154" s="388" customFormat="1" ht="15.75" customHeight="1">
      <c r="A24" s="766" t="s">
        <v>383</v>
      </c>
      <c r="B24" s="1658">
        <f>632881299-126576260</f>
        <v>506305039</v>
      </c>
      <c r="C24" s="1659"/>
      <c r="D24" s="1662">
        <f>123951913.65-24790382.69</f>
        <v>99161530.96000001</v>
      </c>
      <c r="E24" s="1663"/>
      <c r="F24" s="1663"/>
      <c r="G24" s="1663"/>
      <c r="H24" s="1663"/>
      <c r="I24" s="1663"/>
      <c r="J24" s="1663"/>
      <c r="K24" s="1663"/>
      <c r="L24" s="1663"/>
      <c r="M24" s="1663"/>
      <c r="N24" s="1663"/>
      <c r="O24" s="1663"/>
      <c r="P24" s="1664"/>
      <c r="Q24" s="418"/>
      <c r="R24" s="418"/>
      <c r="S24" s="418"/>
      <c r="T24" s="419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  <c r="AR24" s="421"/>
      <c r="AS24" s="421"/>
      <c r="AT24" s="421"/>
      <c r="AU24" s="421"/>
      <c r="AV24" s="421"/>
      <c r="AW24" s="421"/>
      <c r="AX24" s="421"/>
      <c r="AY24" s="421"/>
      <c r="AZ24" s="421"/>
      <c r="BA24" s="421"/>
      <c r="BB24" s="421"/>
      <c r="BC24" s="421"/>
      <c r="BD24" s="421"/>
      <c r="BE24" s="421"/>
      <c r="BF24" s="421"/>
      <c r="BG24" s="421"/>
      <c r="BH24" s="421"/>
      <c r="BI24" s="421"/>
      <c r="BJ24" s="421"/>
      <c r="BK24" s="421"/>
      <c r="BL24" s="421"/>
      <c r="BM24" s="421"/>
      <c r="BN24" s="421"/>
      <c r="BO24" s="421"/>
      <c r="BP24" s="421"/>
      <c r="BQ24" s="421"/>
      <c r="BR24" s="421"/>
      <c r="BS24" s="421"/>
      <c r="BT24" s="421"/>
      <c r="BU24" s="421"/>
      <c r="BV24" s="421"/>
      <c r="BW24" s="421"/>
      <c r="BX24" s="421"/>
      <c r="BY24" s="421"/>
      <c r="BZ24" s="421"/>
      <c r="CA24" s="421"/>
      <c r="CB24" s="421"/>
      <c r="CC24" s="421"/>
      <c r="CD24" s="421"/>
      <c r="CE24" s="421"/>
      <c r="CF24" s="421"/>
      <c r="CG24" s="421"/>
      <c r="CH24" s="421"/>
      <c r="CI24" s="421"/>
      <c r="CJ24" s="421"/>
      <c r="CK24" s="421"/>
      <c r="CL24" s="421"/>
      <c r="CM24" s="421"/>
      <c r="CN24" s="421"/>
      <c r="CO24" s="421"/>
      <c r="CP24" s="421"/>
      <c r="CQ24" s="421"/>
      <c r="CR24" s="421"/>
      <c r="CS24" s="421"/>
      <c r="CT24" s="421"/>
      <c r="CU24" s="421"/>
      <c r="CV24" s="421"/>
      <c r="CW24" s="421"/>
      <c r="CX24" s="421"/>
      <c r="CY24" s="421"/>
      <c r="CZ24" s="421"/>
      <c r="DA24" s="421"/>
      <c r="DB24" s="421"/>
      <c r="DC24" s="421"/>
      <c r="DD24" s="421"/>
      <c r="DE24" s="421"/>
      <c r="DF24" s="421"/>
      <c r="DG24" s="421"/>
      <c r="DH24" s="421"/>
      <c r="DI24" s="421"/>
      <c r="DJ24" s="421"/>
      <c r="DK24" s="421"/>
      <c r="DL24" s="421"/>
      <c r="DM24" s="421"/>
      <c r="DN24" s="421"/>
      <c r="DO24" s="421"/>
      <c r="DP24" s="421"/>
      <c r="DQ24" s="421"/>
      <c r="DR24" s="421"/>
      <c r="DS24" s="421"/>
      <c r="DT24" s="421"/>
      <c r="DU24" s="421"/>
      <c r="DV24" s="421"/>
      <c r="DW24" s="421"/>
      <c r="DX24" s="421"/>
      <c r="DY24" s="421"/>
      <c r="DZ24" s="421"/>
      <c r="EA24" s="421"/>
      <c r="EB24" s="421"/>
      <c r="EC24" s="421"/>
      <c r="ED24" s="421"/>
      <c r="EE24" s="421"/>
      <c r="EF24" s="421"/>
      <c r="EG24" s="421"/>
      <c r="EH24" s="421"/>
      <c r="EI24" s="421"/>
      <c r="EJ24" s="421"/>
      <c r="EK24" s="421"/>
      <c r="EL24" s="421"/>
      <c r="EM24" s="421"/>
      <c r="EN24" s="421"/>
      <c r="EO24" s="421"/>
      <c r="EP24" s="421"/>
      <c r="EQ24" s="421"/>
      <c r="ER24" s="421"/>
      <c r="ES24" s="421"/>
      <c r="ET24" s="421"/>
      <c r="EU24" s="421"/>
      <c r="EV24" s="421"/>
      <c r="EW24" s="421"/>
      <c r="EX24" s="421"/>
    </row>
    <row r="25" spans="1:154" s="388" customFormat="1" ht="15.75" customHeight="1">
      <c r="A25" s="766" t="s">
        <v>254</v>
      </c>
      <c r="B25" s="1658">
        <f>82170170-16434034</f>
        <v>65736136</v>
      </c>
      <c r="C25" s="1659"/>
      <c r="D25" s="1662">
        <f>17297849.91-3459569.97</f>
        <v>13838279.94</v>
      </c>
      <c r="E25" s="1663"/>
      <c r="F25" s="1663"/>
      <c r="G25" s="1663"/>
      <c r="H25" s="1663"/>
      <c r="I25" s="1663"/>
      <c r="J25" s="1663"/>
      <c r="K25" s="1663"/>
      <c r="L25" s="1663"/>
      <c r="M25" s="1663"/>
      <c r="N25" s="1663"/>
      <c r="O25" s="1663"/>
      <c r="P25" s="1664"/>
      <c r="Q25" s="418"/>
      <c r="R25" s="418"/>
      <c r="S25" s="418"/>
      <c r="T25" s="419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1"/>
      <c r="CC25" s="421"/>
      <c r="CD25" s="421"/>
      <c r="CE25" s="421"/>
      <c r="CF25" s="421"/>
      <c r="CG25" s="421"/>
      <c r="CH25" s="421"/>
      <c r="CI25" s="421"/>
      <c r="CJ25" s="421"/>
      <c r="CK25" s="421"/>
      <c r="CL25" s="421"/>
      <c r="CM25" s="421"/>
      <c r="CN25" s="421"/>
      <c r="CO25" s="421"/>
      <c r="CP25" s="421"/>
      <c r="CQ25" s="421"/>
      <c r="CR25" s="421"/>
      <c r="CS25" s="421"/>
      <c r="CT25" s="421"/>
      <c r="CU25" s="421"/>
      <c r="CV25" s="421"/>
      <c r="CW25" s="421"/>
      <c r="CX25" s="421"/>
      <c r="CY25" s="421"/>
      <c r="CZ25" s="421"/>
      <c r="DA25" s="421"/>
      <c r="DB25" s="421"/>
      <c r="DC25" s="421"/>
      <c r="DD25" s="421"/>
      <c r="DE25" s="421"/>
      <c r="DF25" s="421"/>
      <c r="DG25" s="421"/>
      <c r="DH25" s="421"/>
      <c r="DI25" s="421"/>
      <c r="DJ25" s="421"/>
      <c r="DK25" s="421"/>
      <c r="DL25" s="421"/>
      <c r="DM25" s="421"/>
      <c r="DN25" s="421"/>
      <c r="DO25" s="421"/>
      <c r="DP25" s="421"/>
      <c r="DQ25" s="421"/>
      <c r="DR25" s="421"/>
      <c r="DS25" s="421"/>
      <c r="DT25" s="421"/>
      <c r="DU25" s="421"/>
      <c r="DV25" s="421"/>
      <c r="DW25" s="421"/>
      <c r="DX25" s="421"/>
      <c r="DY25" s="421"/>
      <c r="DZ25" s="421"/>
      <c r="EA25" s="421"/>
      <c r="EB25" s="421"/>
      <c r="EC25" s="421"/>
      <c r="ED25" s="421"/>
      <c r="EE25" s="421"/>
      <c r="EF25" s="421"/>
      <c r="EG25" s="421"/>
      <c r="EH25" s="421"/>
      <c r="EI25" s="421"/>
      <c r="EJ25" s="421"/>
      <c r="EK25" s="421"/>
      <c r="EL25" s="421"/>
      <c r="EM25" s="421"/>
      <c r="EN25" s="421"/>
      <c r="EO25" s="421"/>
      <c r="EP25" s="421"/>
      <c r="EQ25" s="421"/>
      <c r="ER25" s="421"/>
      <c r="ES25" s="421"/>
      <c r="ET25" s="421"/>
      <c r="EU25" s="421"/>
      <c r="EV25" s="421"/>
      <c r="EW25" s="421"/>
      <c r="EX25" s="421"/>
    </row>
    <row r="26" spans="1:154" s="388" customFormat="1" ht="15.75" customHeight="1">
      <c r="A26" s="766" t="s">
        <v>253</v>
      </c>
      <c r="B26" s="1658">
        <f>2240-448</f>
        <v>1792</v>
      </c>
      <c r="C26" s="1659"/>
      <c r="D26" s="1662">
        <f>3050.14-610.01</f>
        <v>2440.13</v>
      </c>
      <c r="E26" s="1663"/>
      <c r="F26" s="1663"/>
      <c r="G26" s="1663"/>
      <c r="H26" s="1663"/>
      <c r="I26" s="1663"/>
      <c r="J26" s="1663"/>
      <c r="K26" s="1663"/>
      <c r="L26" s="1663"/>
      <c r="M26" s="1663"/>
      <c r="N26" s="1663"/>
      <c r="O26" s="1663"/>
      <c r="P26" s="1664"/>
      <c r="Q26" s="418"/>
      <c r="R26" s="418"/>
      <c r="S26" s="418"/>
      <c r="T26" s="419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  <c r="AR26" s="421"/>
      <c r="AS26" s="421"/>
      <c r="AT26" s="421"/>
      <c r="AU26" s="421"/>
      <c r="AV26" s="421"/>
      <c r="AW26" s="421"/>
      <c r="AX26" s="421"/>
      <c r="AY26" s="421"/>
      <c r="AZ26" s="421"/>
      <c r="BA26" s="421"/>
      <c r="BB26" s="421"/>
      <c r="BC26" s="421"/>
      <c r="BD26" s="421"/>
      <c r="BE26" s="421"/>
      <c r="BF26" s="421"/>
      <c r="BG26" s="421"/>
      <c r="BH26" s="421"/>
      <c r="BI26" s="421"/>
      <c r="BJ26" s="421"/>
      <c r="BK26" s="421"/>
      <c r="BL26" s="421"/>
      <c r="BM26" s="421"/>
      <c r="BN26" s="421"/>
      <c r="BO26" s="421"/>
      <c r="BP26" s="421"/>
      <c r="BQ26" s="421"/>
      <c r="BR26" s="421"/>
      <c r="BS26" s="421"/>
      <c r="BT26" s="421"/>
      <c r="BU26" s="421"/>
      <c r="BV26" s="421"/>
      <c r="BW26" s="421"/>
      <c r="BX26" s="421"/>
      <c r="BY26" s="421"/>
      <c r="BZ26" s="421"/>
      <c r="CA26" s="421"/>
      <c r="CB26" s="421"/>
      <c r="CC26" s="421"/>
      <c r="CD26" s="421"/>
      <c r="CE26" s="421"/>
      <c r="CF26" s="421"/>
      <c r="CG26" s="421"/>
      <c r="CH26" s="421"/>
      <c r="CI26" s="421"/>
      <c r="CJ26" s="421"/>
      <c r="CK26" s="421"/>
      <c r="CL26" s="421"/>
      <c r="CM26" s="421"/>
      <c r="CN26" s="421"/>
      <c r="CO26" s="421"/>
      <c r="CP26" s="421"/>
      <c r="CQ26" s="421"/>
      <c r="CR26" s="421"/>
      <c r="CS26" s="421"/>
      <c r="CT26" s="421"/>
      <c r="CU26" s="421"/>
      <c r="CV26" s="421"/>
      <c r="CW26" s="421"/>
      <c r="CX26" s="421"/>
      <c r="CY26" s="421"/>
      <c r="CZ26" s="421"/>
      <c r="DA26" s="421"/>
      <c r="DB26" s="421"/>
      <c r="DC26" s="421"/>
      <c r="DD26" s="421"/>
      <c r="DE26" s="421"/>
      <c r="DF26" s="421"/>
      <c r="DG26" s="421"/>
      <c r="DH26" s="421"/>
      <c r="DI26" s="421"/>
      <c r="DJ26" s="421"/>
      <c r="DK26" s="421"/>
      <c r="DL26" s="421"/>
      <c r="DM26" s="421"/>
      <c r="DN26" s="421"/>
      <c r="DO26" s="421"/>
      <c r="DP26" s="421"/>
      <c r="DQ26" s="421"/>
      <c r="DR26" s="421"/>
      <c r="DS26" s="421"/>
      <c r="DT26" s="421"/>
      <c r="DU26" s="421"/>
      <c r="DV26" s="421"/>
      <c r="DW26" s="421"/>
      <c r="DX26" s="421"/>
      <c r="DY26" s="421"/>
      <c r="DZ26" s="421"/>
      <c r="EA26" s="421"/>
      <c r="EB26" s="421"/>
      <c r="EC26" s="421"/>
      <c r="ED26" s="421"/>
      <c r="EE26" s="421"/>
      <c r="EF26" s="421"/>
      <c r="EG26" s="421"/>
      <c r="EH26" s="421"/>
      <c r="EI26" s="421"/>
      <c r="EJ26" s="421"/>
      <c r="EK26" s="421"/>
      <c r="EL26" s="421"/>
      <c r="EM26" s="421"/>
      <c r="EN26" s="421"/>
      <c r="EO26" s="421"/>
      <c r="EP26" s="421"/>
      <c r="EQ26" s="421"/>
      <c r="ER26" s="421"/>
      <c r="ES26" s="421"/>
      <c r="ET26" s="421"/>
      <c r="EU26" s="421"/>
      <c r="EV26" s="421"/>
      <c r="EW26" s="421"/>
      <c r="EX26" s="421"/>
    </row>
    <row r="27" spans="1:154" s="388" customFormat="1" ht="15.75" customHeight="1">
      <c r="A27" s="766" t="s">
        <v>384</v>
      </c>
      <c r="B27" s="1658">
        <v>0</v>
      </c>
      <c r="C27" s="1659"/>
      <c r="D27" s="1662">
        <v>0</v>
      </c>
      <c r="E27" s="1663"/>
      <c r="F27" s="1663"/>
      <c r="G27" s="1663"/>
      <c r="H27" s="1663"/>
      <c r="I27" s="1663"/>
      <c r="J27" s="1663"/>
      <c r="K27" s="1663"/>
      <c r="L27" s="1663"/>
      <c r="M27" s="1663"/>
      <c r="N27" s="1663"/>
      <c r="O27" s="1663"/>
      <c r="P27" s="1664"/>
      <c r="Q27" s="418"/>
      <c r="R27" s="418"/>
      <c r="S27" s="418"/>
      <c r="T27" s="419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1"/>
      <c r="CE27" s="421"/>
      <c r="CF27" s="421"/>
      <c r="CG27" s="421"/>
      <c r="CH27" s="421"/>
      <c r="CI27" s="421"/>
      <c r="CJ27" s="421"/>
      <c r="CK27" s="421"/>
      <c r="CL27" s="421"/>
      <c r="CM27" s="421"/>
      <c r="CN27" s="421"/>
      <c r="CO27" s="421"/>
      <c r="CP27" s="421"/>
      <c r="CQ27" s="421"/>
      <c r="CR27" s="421"/>
      <c r="CS27" s="421"/>
      <c r="CT27" s="421"/>
      <c r="CU27" s="421"/>
      <c r="CV27" s="421"/>
      <c r="CW27" s="421"/>
      <c r="CX27" s="421"/>
      <c r="CY27" s="421"/>
      <c r="CZ27" s="421"/>
      <c r="DA27" s="421"/>
      <c r="DB27" s="421"/>
      <c r="DC27" s="421"/>
      <c r="DD27" s="421"/>
      <c r="DE27" s="421"/>
      <c r="DF27" s="421"/>
      <c r="DG27" s="421"/>
      <c r="DH27" s="421"/>
      <c r="DI27" s="421"/>
      <c r="DJ27" s="421"/>
      <c r="DK27" s="421"/>
      <c r="DL27" s="421"/>
      <c r="DM27" s="421"/>
      <c r="DN27" s="421"/>
      <c r="DO27" s="421"/>
      <c r="DP27" s="421"/>
      <c r="DQ27" s="421"/>
      <c r="DR27" s="421"/>
      <c r="DS27" s="421"/>
      <c r="DT27" s="421"/>
      <c r="DU27" s="421"/>
      <c r="DV27" s="421"/>
      <c r="DW27" s="421"/>
      <c r="DX27" s="421"/>
      <c r="DY27" s="421"/>
      <c r="DZ27" s="421"/>
      <c r="EA27" s="421"/>
      <c r="EB27" s="421"/>
      <c r="EC27" s="421"/>
      <c r="ED27" s="421"/>
      <c r="EE27" s="421"/>
      <c r="EF27" s="421"/>
      <c r="EG27" s="421"/>
      <c r="EH27" s="421"/>
      <c r="EI27" s="421"/>
      <c r="EJ27" s="421"/>
      <c r="EK27" s="421"/>
      <c r="EL27" s="421"/>
      <c r="EM27" s="421"/>
      <c r="EN27" s="421"/>
      <c r="EO27" s="421"/>
      <c r="EP27" s="421"/>
      <c r="EQ27" s="421"/>
      <c r="ER27" s="421"/>
      <c r="ES27" s="421"/>
      <c r="ET27" s="421"/>
      <c r="EU27" s="421"/>
      <c r="EV27" s="421"/>
      <c r="EW27" s="421"/>
      <c r="EX27" s="421"/>
    </row>
    <row r="28" spans="1:154" s="388" customFormat="1" ht="15.75" customHeight="1">
      <c r="A28" s="766" t="s">
        <v>385</v>
      </c>
      <c r="B28" s="1658">
        <f>5866770-1173354</f>
        <v>4693416</v>
      </c>
      <c r="C28" s="1659"/>
      <c r="D28" s="1662">
        <f>1242262.27-248452.47</f>
        <v>993809.8</v>
      </c>
      <c r="E28" s="1663"/>
      <c r="F28" s="1663"/>
      <c r="G28" s="1663"/>
      <c r="H28" s="1663"/>
      <c r="I28" s="1663"/>
      <c r="J28" s="1663"/>
      <c r="K28" s="1663"/>
      <c r="L28" s="1663"/>
      <c r="M28" s="1663"/>
      <c r="N28" s="1663"/>
      <c r="O28" s="1663"/>
      <c r="P28" s="1664"/>
      <c r="Q28" s="418"/>
      <c r="R28" s="418"/>
      <c r="S28" s="418"/>
      <c r="T28" s="419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  <c r="AR28" s="421"/>
      <c r="AS28" s="421"/>
      <c r="AT28" s="421"/>
      <c r="AU28" s="421"/>
      <c r="AV28" s="421"/>
      <c r="AW28" s="421"/>
      <c r="AX28" s="421"/>
      <c r="AY28" s="421"/>
      <c r="AZ28" s="421"/>
      <c r="BA28" s="421"/>
      <c r="BB28" s="421"/>
      <c r="BC28" s="421"/>
      <c r="BD28" s="421"/>
      <c r="BE28" s="421"/>
      <c r="BF28" s="421"/>
      <c r="BG28" s="421"/>
      <c r="BH28" s="421"/>
      <c r="BI28" s="421"/>
      <c r="BJ28" s="421"/>
      <c r="BK28" s="421"/>
      <c r="BL28" s="421"/>
      <c r="BM28" s="421"/>
      <c r="BN28" s="421"/>
      <c r="BO28" s="421"/>
      <c r="BP28" s="421"/>
      <c r="BQ28" s="421"/>
      <c r="BR28" s="421"/>
      <c r="BS28" s="421"/>
      <c r="BT28" s="421"/>
      <c r="BU28" s="421"/>
      <c r="BV28" s="421"/>
      <c r="BW28" s="421"/>
      <c r="BX28" s="421"/>
      <c r="BY28" s="421"/>
      <c r="BZ28" s="421"/>
      <c r="CA28" s="421"/>
      <c r="CB28" s="421"/>
      <c r="CC28" s="421"/>
      <c r="CD28" s="421"/>
      <c r="CE28" s="421"/>
      <c r="CF28" s="421"/>
      <c r="CG28" s="421"/>
      <c r="CH28" s="421"/>
      <c r="CI28" s="421"/>
      <c r="CJ28" s="421"/>
      <c r="CK28" s="421"/>
      <c r="CL28" s="421"/>
      <c r="CM28" s="421"/>
      <c r="CN28" s="421"/>
      <c r="CO28" s="421"/>
      <c r="CP28" s="421"/>
      <c r="CQ28" s="421"/>
      <c r="CR28" s="421"/>
      <c r="CS28" s="421"/>
      <c r="CT28" s="421"/>
      <c r="CU28" s="421"/>
      <c r="CV28" s="421"/>
      <c r="CW28" s="421"/>
      <c r="CX28" s="421"/>
      <c r="CY28" s="421"/>
      <c r="CZ28" s="421"/>
      <c r="DA28" s="421"/>
      <c r="DB28" s="421"/>
      <c r="DC28" s="421"/>
      <c r="DD28" s="421"/>
      <c r="DE28" s="421"/>
      <c r="DF28" s="421"/>
      <c r="DG28" s="421"/>
      <c r="DH28" s="421"/>
      <c r="DI28" s="421"/>
      <c r="DJ28" s="421"/>
      <c r="DK28" s="421"/>
      <c r="DL28" s="421"/>
      <c r="DM28" s="421"/>
      <c r="DN28" s="421"/>
      <c r="DO28" s="421"/>
      <c r="DP28" s="421"/>
      <c r="DQ28" s="421"/>
      <c r="DR28" s="421"/>
      <c r="DS28" s="421"/>
      <c r="DT28" s="421"/>
      <c r="DU28" s="421"/>
      <c r="DV28" s="421"/>
      <c r="DW28" s="421"/>
      <c r="DX28" s="421"/>
      <c r="DY28" s="421"/>
      <c r="DZ28" s="421"/>
      <c r="EA28" s="421"/>
      <c r="EB28" s="421"/>
      <c r="EC28" s="421"/>
      <c r="ED28" s="421"/>
      <c r="EE28" s="421"/>
      <c r="EF28" s="421"/>
      <c r="EG28" s="421"/>
      <c r="EH28" s="421"/>
      <c r="EI28" s="421"/>
      <c r="EJ28" s="421"/>
      <c r="EK28" s="421"/>
      <c r="EL28" s="421"/>
      <c r="EM28" s="421"/>
      <c r="EN28" s="421"/>
      <c r="EO28" s="421"/>
      <c r="EP28" s="421"/>
      <c r="EQ28" s="421"/>
      <c r="ER28" s="421"/>
      <c r="ES28" s="421"/>
      <c r="ET28" s="421"/>
      <c r="EU28" s="421"/>
      <c r="EV28" s="421"/>
      <c r="EW28" s="421"/>
      <c r="EX28" s="421"/>
    </row>
    <row r="29" spans="1:154" s="398" customFormat="1" ht="15.75" customHeight="1">
      <c r="A29" s="766" t="s">
        <v>386</v>
      </c>
      <c r="B29" s="1658">
        <v>377105853</v>
      </c>
      <c r="C29" s="1659"/>
      <c r="D29" s="1662">
        <v>105411474.69</v>
      </c>
      <c r="E29" s="1663"/>
      <c r="F29" s="1663"/>
      <c r="G29" s="1663"/>
      <c r="H29" s="1663"/>
      <c r="I29" s="1663"/>
      <c r="J29" s="1663"/>
      <c r="K29" s="1663"/>
      <c r="L29" s="1663"/>
      <c r="M29" s="1663"/>
      <c r="N29" s="1663"/>
      <c r="O29" s="1663"/>
      <c r="P29" s="1664"/>
      <c r="Q29" s="418"/>
      <c r="R29" s="418"/>
      <c r="S29" s="418"/>
      <c r="T29" s="419"/>
      <c r="U29" s="424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1"/>
      <c r="CC29" s="421"/>
      <c r="CD29" s="421"/>
      <c r="CE29" s="421"/>
      <c r="CF29" s="421"/>
      <c r="CG29" s="421"/>
      <c r="CH29" s="421"/>
      <c r="CI29" s="421"/>
      <c r="CJ29" s="421"/>
      <c r="CK29" s="421"/>
      <c r="CL29" s="421"/>
      <c r="CM29" s="421"/>
      <c r="CN29" s="421"/>
      <c r="CO29" s="421"/>
      <c r="CP29" s="421"/>
      <c r="CQ29" s="421"/>
      <c r="CR29" s="421"/>
      <c r="CS29" s="421"/>
      <c r="CT29" s="421"/>
      <c r="CU29" s="421"/>
      <c r="CV29" s="421"/>
      <c r="CW29" s="421"/>
      <c r="CX29" s="421"/>
      <c r="CY29" s="421"/>
      <c r="CZ29" s="421"/>
      <c r="DA29" s="421"/>
      <c r="DB29" s="421"/>
      <c r="DC29" s="421"/>
      <c r="DD29" s="421"/>
      <c r="DE29" s="421"/>
      <c r="DF29" s="421"/>
      <c r="DG29" s="421"/>
      <c r="DH29" s="421"/>
      <c r="DI29" s="421"/>
      <c r="DJ29" s="421"/>
      <c r="DK29" s="421"/>
      <c r="DL29" s="421"/>
      <c r="DM29" s="421"/>
      <c r="DN29" s="421"/>
      <c r="DO29" s="421"/>
      <c r="DP29" s="421"/>
      <c r="DQ29" s="421"/>
      <c r="DR29" s="421"/>
      <c r="DS29" s="421"/>
      <c r="DT29" s="421"/>
      <c r="DU29" s="421"/>
      <c r="DV29" s="421"/>
      <c r="DW29" s="421"/>
      <c r="DX29" s="421"/>
      <c r="DY29" s="421"/>
      <c r="DZ29" s="421"/>
      <c r="EA29" s="421"/>
      <c r="EB29" s="421"/>
      <c r="EC29" s="421"/>
      <c r="ED29" s="421"/>
      <c r="EE29" s="421"/>
      <c r="EF29" s="421"/>
      <c r="EG29" s="421"/>
      <c r="EH29" s="421"/>
      <c r="EI29" s="421"/>
      <c r="EJ29" s="421"/>
      <c r="EK29" s="421"/>
      <c r="EL29" s="421"/>
      <c r="EM29" s="421"/>
      <c r="EN29" s="421"/>
      <c r="EO29" s="421"/>
      <c r="EP29" s="421"/>
      <c r="EQ29" s="421"/>
      <c r="ER29" s="421"/>
      <c r="ES29" s="421"/>
      <c r="ET29" s="421"/>
      <c r="EU29" s="421"/>
      <c r="EV29" s="421"/>
      <c r="EW29" s="421"/>
      <c r="EX29" s="421"/>
    </row>
    <row r="30" spans="1:154" s="422" customFormat="1" ht="15.75" customHeight="1">
      <c r="A30" s="766" t="s">
        <v>387</v>
      </c>
      <c r="B30" s="1658">
        <f>2213409382.14-1400904268-245637137</f>
        <v>566867977.1399999</v>
      </c>
      <c r="C30" s="1659"/>
      <c r="D30" s="1670">
        <f>458375145.86-325878979.68-55116876.13</f>
        <v>77379290.05000001</v>
      </c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671"/>
      <c r="Q30" s="418"/>
      <c r="R30" s="418"/>
      <c r="S30" s="418"/>
      <c r="T30" s="423"/>
      <c r="U30" s="431"/>
      <c r="V30" s="43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  <c r="AR30" s="421"/>
      <c r="AS30" s="421"/>
      <c r="AT30" s="421"/>
      <c r="AU30" s="421"/>
      <c r="AV30" s="421"/>
      <c r="AW30" s="421"/>
      <c r="AX30" s="421"/>
      <c r="AY30" s="421"/>
      <c r="AZ30" s="421"/>
      <c r="BA30" s="421"/>
      <c r="BB30" s="421"/>
      <c r="BC30" s="421"/>
      <c r="BD30" s="421"/>
      <c r="BE30" s="421"/>
      <c r="BF30" s="421"/>
      <c r="BG30" s="421"/>
      <c r="BH30" s="421"/>
      <c r="BI30" s="421"/>
      <c r="BJ30" s="421"/>
      <c r="BK30" s="421"/>
      <c r="BL30" s="421"/>
      <c r="BM30" s="421"/>
      <c r="BN30" s="421"/>
      <c r="BO30" s="421"/>
      <c r="BP30" s="421"/>
      <c r="BQ30" s="421"/>
      <c r="BR30" s="421"/>
      <c r="BS30" s="421"/>
      <c r="BT30" s="421"/>
      <c r="BU30" s="421"/>
      <c r="BV30" s="421"/>
      <c r="BW30" s="421"/>
      <c r="BX30" s="421"/>
      <c r="BY30" s="421"/>
      <c r="BZ30" s="421"/>
      <c r="CA30" s="421"/>
      <c r="CB30" s="421"/>
      <c r="CC30" s="421"/>
      <c r="CD30" s="421"/>
      <c r="CE30" s="421"/>
      <c r="CF30" s="421"/>
      <c r="CG30" s="421"/>
      <c r="CH30" s="421"/>
      <c r="CI30" s="421"/>
      <c r="CJ30" s="421"/>
      <c r="CK30" s="421"/>
      <c r="CL30" s="421"/>
      <c r="CM30" s="421"/>
      <c r="CN30" s="421"/>
      <c r="CO30" s="421"/>
      <c r="CP30" s="421"/>
      <c r="CQ30" s="421"/>
      <c r="CR30" s="421"/>
      <c r="CS30" s="421"/>
      <c r="CT30" s="421"/>
      <c r="CU30" s="421"/>
      <c r="CV30" s="421"/>
      <c r="CW30" s="421"/>
      <c r="CX30" s="421"/>
      <c r="CY30" s="421"/>
      <c r="CZ30" s="421"/>
      <c r="DA30" s="421"/>
      <c r="DB30" s="421"/>
      <c r="DC30" s="421"/>
      <c r="DD30" s="421"/>
      <c r="DE30" s="421"/>
      <c r="DF30" s="421"/>
      <c r="DG30" s="421"/>
      <c r="DH30" s="421"/>
      <c r="DI30" s="421"/>
      <c r="DJ30" s="421"/>
      <c r="DK30" s="421"/>
      <c r="DL30" s="421"/>
      <c r="DM30" s="421"/>
      <c r="DN30" s="421"/>
      <c r="DO30" s="421"/>
      <c r="DP30" s="421"/>
      <c r="DQ30" s="421"/>
      <c r="DR30" s="421"/>
      <c r="DS30" s="421"/>
      <c r="DT30" s="421"/>
      <c r="DU30" s="421"/>
      <c r="DV30" s="421"/>
      <c r="DW30" s="421"/>
      <c r="DX30" s="421"/>
      <c r="DY30" s="421"/>
      <c r="DZ30" s="421"/>
      <c r="EA30" s="421"/>
      <c r="EB30" s="421"/>
      <c r="EC30" s="421"/>
      <c r="ED30" s="421"/>
      <c r="EE30" s="421"/>
      <c r="EF30" s="421"/>
      <c r="EG30" s="421"/>
      <c r="EH30" s="421"/>
      <c r="EI30" s="421"/>
      <c r="EJ30" s="421"/>
      <c r="EK30" s="421"/>
      <c r="EL30" s="421"/>
      <c r="EM30" s="421"/>
      <c r="EN30" s="421"/>
      <c r="EO30" s="421"/>
      <c r="EP30" s="421"/>
      <c r="EQ30" s="421"/>
      <c r="ER30" s="421"/>
      <c r="ES30" s="421"/>
      <c r="ET30" s="421"/>
      <c r="EU30" s="421"/>
      <c r="EV30" s="421"/>
      <c r="EW30" s="421"/>
      <c r="EX30" s="421"/>
    </row>
    <row r="31" spans="1:154" s="429" customFormat="1" ht="15.75" customHeight="1">
      <c r="A31" s="764" t="s">
        <v>164</v>
      </c>
      <c r="B31" s="1681">
        <f>B32+B33</f>
        <v>217107398</v>
      </c>
      <c r="C31" s="1682"/>
      <c r="D31" s="1667">
        <f>D32+D33</f>
        <v>4712636.09</v>
      </c>
      <c r="E31" s="1668"/>
      <c r="F31" s="1668"/>
      <c r="G31" s="1668"/>
      <c r="H31" s="1668"/>
      <c r="I31" s="1668"/>
      <c r="J31" s="1668"/>
      <c r="K31" s="1668"/>
      <c r="L31" s="1668"/>
      <c r="M31" s="1668"/>
      <c r="N31" s="1668"/>
      <c r="O31" s="1668"/>
      <c r="P31" s="1669"/>
      <c r="Q31" s="426"/>
      <c r="R31" s="426"/>
      <c r="S31" s="426"/>
      <c r="T31" s="432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  <c r="AT31" s="427"/>
      <c r="AU31" s="427"/>
      <c r="AV31" s="427"/>
      <c r="AW31" s="427"/>
      <c r="AX31" s="427"/>
      <c r="AY31" s="427"/>
      <c r="AZ31" s="427"/>
      <c r="BA31" s="427"/>
      <c r="BB31" s="427"/>
      <c r="BC31" s="427"/>
      <c r="BD31" s="427"/>
      <c r="BE31" s="427"/>
      <c r="BF31" s="427"/>
      <c r="BG31" s="427"/>
      <c r="BH31" s="427"/>
      <c r="BI31" s="427"/>
      <c r="BJ31" s="427"/>
      <c r="BK31" s="427"/>
      <c r="BL31" s="427"/>
      <c r="BM31" s="427"/>
      <c r="BN31" s="427"/>
      <c r="BO31" s="427"/>
      <c r="BP31" s="427"/>
      <c r="BQ31" s="427"/>
      <c r="BR31" s="427"/>
      <c r="BS31" s="427"/>
      <c r="BT31" s="427"/>
      <c r="BU31" s="427"/>
      <c r="BV31" s="427"/>
      <c r="BW31" s="427"/>
      <c r="BX31" s="427"/>
      <c r="BY31" s="427"/>
      <c r="BZ31" s="427"/>
      <c r="CA31" s="427"/>
      <c r="CB31" s="427"/>
      <c r="CC31" s="427"/>
      <c r="CD31" s="427"/>
      <c r="CE31" s="427"/>
      <c r="CF31" s="427"/>
      <c r="CG31" s="427"/>
      <c r="CH31" s="427"/>
      <c r="CI31" s="427"/>
      <c r="CJ31" s="427"/>
      <c r="CK31" s="427"/>
      <c r="CL31" s="427"/>
      <c r="CM31" s="427"/>
      <c r="CN31" s="427"/>
      <c r="CO31" s="427"/>
      <c r="CP31" s="427"/>
      <c r="CQ31" s="427"/>
      <c r="CR31" s="427"/>
      <c r="CS31" s="427"/>
      <c r="CT31" s="427"/>
      <c r="CU31" s="427"/>
      <c r="CV31" s="427"/>
      <c r="CW31" s="427"/>
      <c r="CX31" s="427"/>
      <c r="CY31" s="427"/>
      <c r="CZ31" s="427"/>
      <c r="DA31" s="427"/>
      <c r="DB31" s="427"/>
      <c r="DC31" s="427"/>
      <c r="DD31" s="427"/>
      <c r="DE31" s="427"/>
      <c r="DF31" s="427"/>
      <c r="DG31" s="427"/>
      <c r="DH31" s="427"/>
      <c r="DI31" s="427"/>
      <c r="DJ31" s="427"/>
      <c r="DK31" s="427"/>
      <c r="DL31" s="427"/>
      <c r="DM31" s="427"/>
      <c r="DN31" s="427"/>
      <c r="DO31" s="427"/>
      <c r="DP31" s="427"/>
      <c r="DQ31" s="427"/>
      <c r="DR31" s="427"/>
      <c r="DS31" s="427"/>
      <c r="DT31" s="427"/>
      <c r="DU31" s="427"/>
      <c r="DV31" s="427"/>
      <c r="DW31" s="427"/>
      <c r="DX31" s="427"/>
      <c r="DY31" s="427"/>
      <c r="DZ31" s="427"/>
      <c r="EA31" s="427"/>
      <c r="EB31" s="427"/>
      <c r="EC31" s="427"/>
      <c r="ED31" s="427"/>
      <c r="EE31" s="427"/>
      <c r="EF31" s="427"/>
      <c r="EG31" s="427"/>
      <c r="EH31" s="427"/>
      <c r="EI31" s="427"/>
      <c r="EJ31" s="427"/>
      <c r="EK31" s="427"/>
      <c r="EL31" s="427"/>
      <c r="EM31" s="427"/>
      <c r="EN31" s="427"/>
      <c r="EO31" s="427"/>
      <c r="EP31" s="427"/>
      <c r="EQ31" s="427"/>
      <c r="ER31" s="427"/>
      <c r="ES31" s="427"/>
      <c r="ET31" s="427"/>
      <c r="EU31" s="427"/>
      <c r="EV31" s="427"/>
      <c r="EW31" s="427"/>
      <c r="EX31" s="427"/>
    </row>
    <row r="32" spans="1:154" s="388" customFormat="1" ht="15.75" customHeight="1">
      <c r="A32" s="765" t="s">
        <v>388</v>
      </c>
      <c r="B32" s="1658">
        <v>13846806</v>
      </c>
      <c r="C32" s="1659"/>
      <c r="D32" s="1662">
        <v>1418637.62</v>
      </c>
      <c r="E32" s="1663"/>
      <c r="F32" s="1663"/>
      <c r="G32" s="1663"/>
      <c r="H32" s="1663"/>
      <c r="I32" s="1663"/>
      <c r="J32" s="1663"/>
      <c r="K32" s="1663"/>
      <c r="L32" s="1663"/>
      <c r="M32" s="1663"/>
      <c r="N32" s="1663"/>
      <c r="O32" s="1663"/>
      <c r="P32" s="1664"/>
      <c r="Q32" s="418"/>
      <c r="R32" s="418"/>
      <c r="S32" s="418"/>
      <c r="T32" s="418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1"/>
      <c r="BF32" s="421"/>
      <c r="BG32" s="421"/>
      <c r="BH32" s="421"/>
      <c r="BI32" s="421"/>
      <c r="BJ32" s="421"/>
      <c r="BK32" s="421"/>
      <c r="BL32" s="421"/>
      <c r="BM32" s="421"/>
      <c r="BN32" s="421"/>
      <c r="BO32" s="421"/>
      <c r="BP32" s="421"/>
      <c r="BQ32" s="421"/>
      <c r="BR32" s="421"/>
      <c r="BS32" s="421"/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1"/>
      <c r="CE32" s="421"/>
      <c r="CF32" s="421"/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1"/>
      <c r="CR32" s="421"/>
      <c r="CS32" s="421"/>
      <c r="CT32" s="421"/>
      <c r="CU32" s="421"/>
      <c r="CV32" s="421"/>
      <c r="CW32" s="421"/>
      <c r="CX32" s="421"/>
      <c r="CY32" s="421"/>
      <c r="CZ32" s="421"/>
      <c r="DA32" s="421"/>
      <c r="DB32" s="421"/>
      <c r="DC32" s="421"/>
      <c r="DD32" s="421"/>
      <c r="DE32" s="421"/>
      <c r="DF32" s="421"/>
      <c r="DG32" s="421"/>
      <c r="DH32" s="421"/>
      <c r="DI32" s="421"/>
      <c r="DJ32" s="421"/>
      <c r="DK32" s="421"/>
      <c r="DL32" s="421"/>
      <c r="DM32" s="421"/>
      <c r="DN32" s="421"/>
      <c r="DO32" s="421"/>
      <c r="DP32" s="421"/>
      <c r="DQ32" s="421"/>
      <c r="DR32" s="421"/>
      <c r="DS32" s="421"/>
      <c r="DT32" s="421"/>
      <c r="DU32" s="421"/>
      <c r="DV32" s="421"/>
      <c r="DW32" s="421"/>
      <c r="DX32" s="421"/>
      <c r="DY32" s="421"/>
      <c r="DZ32" s="421"/>
      <c r="EA32" s="421"/>
      <c r="EB32" s="421"/>
      <c r="EC32" s="421"/>
      <c r="ED32" s="421"/>
      <c r="EE32" s="421"/>
      <c r="EF32" s="421"/>
      <c r="EG32" s="421"/>
      <c r="EH32" s="421"/>
      <c r="EI32" s="421"/>
      <c r="EJ32" s="421"/>
      <c r="EK32" s="421"/>
      <c r="EL32" s="421"/>
      <c r="EM32" s="421"/>
      <c r="EN32" s="421"/>
      <c r="EO32" s="421"/>
      <c r="EP32" s="421"/>
      <c r="EQ32" s="421"/>
      <c r="ER32" s="421"/>
      <c r="ES32" s="421"/>
      <c r="ET32" s="421"/>
      <c r="EU32" s="421"/>
      <c r="EV32" s="421"/>
      <c r="EW32" s="421"/>
      <c r="EX32" s="421"/>
    </row>
    <row r="33" spans="1:154" s="388" customFormat="1" ht="15.75" customHeight="1">
      <c r="A33" s="767" t="s">
        <v>389</v>
      </c>
      <c r="B33" s="1702">
        <f>203185262+75330</f>
        <v>203260592</v>
      </c>
      <c r="C33" s="1659"/>
      <c r="D33" s="1662">
        <v>3293998.47</v>
      </c>
      <c r="E33" s="1663"/>
      <c r="F33" s="1663"/>
      <c r="G33" s="1663"/>
      <c r="H33" s="1663"/>
      <c r="I33" s="1663"/>
      <c r="J33" s="1663"/>
      <c r="K33" s="1663"/>
      <c r="L33" s="1663"/>
      <c r="M33" s="1663"/>
      <c r="N33" s="1663"/>
      <c r="O33" s="1663"/>
      <c r="P33" s="1664"/>
      <c r="Q33" s="418"/>
      <c r="R33" s="418"/>
      <c r="S33" s="418"/>
      <c r="T33" s="419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1"/>
      <c r="AJ33" s="421"/>
      <c r="AK33" s="421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1"/>
      <c r="CC33" s="421"/>
      <c r="CD33" s="421"/>
      <c r="CE33" s="421"/>
      <c r="CF33" s="421"/>
      <c r="CG33" s="421"/>
      <c r="CH33" s="421"/>
      <c r="CI33" s="421"/>
      <c r="CJ33" s="421"/>
      <c r="CK33" s="421"/>
      <c r="CL33" s="421"/>
      <c r="CM33" s="421"/>
      <c r="CN33" s="421"/>
      <c r="CO33" s="421"/>
      <c r="CP33" s="421"/>
      <c r="CQ33" s="421"/>
      <c r="CR33" s="421"/>
      <c r="CS33" s="421"/>
      <c r="CT33" s="421"/>
      <c r="CU33" s="421"/>
      <c r="CV33" s="421"/>
      <c r="CW33" s="421"/>
      <c r="CX33" s="421"/>
      <c r="CY33" s="421"/>
      <c r="CZ33" s="421"/>
      <c r="DA33" s="421"/>
      <c r="DB33" s="421"/>
      <c r="DC33" s="421"/>
      <c r="DD33" s="421"/>
      <c r="DE33" s="421"/>
      <c r="DF33" s="421"/>
      <c r="DG33" s="421"/>
      <c r="DH33" s="421"/>
      <c r="DI33" s="421"/>
      <c r="DJ33" s="421"/>
      <c r="DK33" s="421"/>
      <c r="DL33" s="421"/>
      <c r="DM33" s="421"/>
      <c r="DN33" s="421"/>
      <c r="DO33" s="421"/>
      <c r="DP33" s="421"/>
      <c r="DQ33" s="421"/>
      <c r="DR33" s="421"/>
      <c r="DS33" s="421"/>
      <c r="DT33" s="421"/>
      <c r="DU33" s="421"/>
      <c r="DV33" s="421"/>
      <c r="DW33" s="421"/>
      <c r="DX33" s="421"/>
      <c r="DY33" s="421"/>
      <c r="DZ33" s="421"/>
      <c r="EA33" s="421"/>
      <c r="EB33" s="421"/>
      <c r="EC33" s="421"/>
      <c r="ED33" s="421"/>
      <c r="EE33" s="421"/>
      <c r="EF33" s="421"/>
      <c r="EG33" s="421"/>
      <c r="EH33" s="421"/>
      <c r="EI33" s="421"/>
      <c r="EJ33" s="421"/>
      <c r="EK33" s="421"/>
      <c r="EL33" s="421"/>
      <c r="EM33" s="421"/>
      <c r="EN33" s="421"/>
      <c r="EO33" s="421"/>
      <c r="EP33" s="421"/>
      <c r="EQ33" s="421"/>
      <c r="ER33" s="421"/>
      <c r="ES33" s="421"/>
      <c r="ET33" s="421"/>
      <c r="EU33" s="421"/>
      <c r="EV33" s="421"/>
      <c r="EW33" s="421"/>
      <c r="EX33" s="421"/>
    </row>
    <row r="34" spans="1:154" s="388" customFormat="1" ht="15.75" customHeight="1">
      <c r="A34" s="768" t="s">
        <v>390</v>
      </c>
      <c r="B34" s="1679">
        <f>B11-B20-B32</f>
        <v>3191256793.14</v>
      </c>
      <c r="C34" s="1680"/>
      <c r="D34" s="1667">
        <f>D11-D20-D32</f>
        <v>560678700.68</v>
      </c>
      <c r="E34" s="1668"/>
      <c r="F34" s="1668"/>
      <c r="G34" s="1668"/>
      <c r="H34" s="1668"/>
      <c r="I34" s="1668"/>
      <c r="J34" s="1668"/>
      <c r="K34" s="1668"/>
      <c r="L34" s="1668"/>
      <c r="M34" s="1668"/>
      <c r="N34" s="1668"/>
      <c r="O34" s="1668"/>
      <c r="P34" s="1669"/>
      <c r="Q34" s="418"/>
      <c r="R34" s="418"/>
      <c r="S34" s="418"/>
      <c r="T34" s="419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421"/>
      <c r="AM34" s="421"/>
      <c r="AN34" s="421"/>
      <c r="AO34" s="421"/>
      <c r="AP34" s="421"/>
      <c r="AQ34" s="421"/>
      <c r="AR34" s="421"/>
      <c r="AS34" s="421"/>
      <c r="AT34" s="421"/>
      <c r="AU34" s="421"/>
      <c r="AV34" s="421"/>
      <c r="AW34" s="421"/>
      <c r="AX34" s="421"/>
      <c r="AY34" s="421"/>
      <c r="AZ34" s="421"/>
      <c r="BA34" s="421"/>
      <c r="BB34" s="421"/>
      <c r="BC34" s="421"/>
      <c r="BD34" s="421"/>
      <c r="BE34" s="421"/>
      <c r="BF34" s="421"/>
      <c r="BG34" s="421"/>
      <c r="BH34" s="421"/>
      <c r="BI34" s="421"/>
      <c r="BJ34" s="421"/>
      <c r="BK34" s="421"/>
      <c r="BL34" s="421"/>
      <c r="BM34" s="421"/>
      <c r="BN34" s="421"/>
      <c r="BO34" s="421"/>
      <c r="BP34" s="421"/>
      <c r="BQ34" s="421"/>
      <c r="BR34" s="421"/>
      <c r="BS34" s="421"/>
      <c r="BT34" s="421"/>
      <c r="BU34" s="421"/>
      <c r="BV34" s="421"/>
      <c r="BW34" s="421"/>
      <c r="BX34" s="421"/>
      <c r="BY34" s="421"/>
      <c r="BZ34" s="421"/>
      <c r="CA34" s="421"/>
      <c r="CB34" s="421"/>
      <c r="CC34" s="421"/>
      <c r="CD34" s="421"/>
      <c r="CE34" s="421"/>
      <c r="CF34" s="421"/>
      <c r="CG34" s="421"/>
      <c r="CH34" s="421"/>
      <c r="CI34" s="421"/>
      <c r="CJ34" s="421"/>
      <c r="CK34" s="421"/>
      <c r="CL34" s="421"/>
      <c r="CM34" s="421"/>
      <c r="CN34" s="421"/>
      <c r="CO34" s="421"/>
      <c r="CP34" s="421"/>
      <c r="CQ34" s="421"/>
      <c r="CR34" s="421"/>
      <c r="CS34" s="421"/>
      <c r="CT34" s="421"/>
      <c r="CU34" s="421"/>
      <c r="CV34" s="421"/>
      <c r="CW34" s="421"/>
      <c r="CX34" s="421"/>
      <c r="CY34" s="421"/>
      <c r="CZ34" s="421"/>
      <c r="DA34" s="421"/>
      <c r="DB34" s="421"/>
      <c r="DC34" s="421"/>
      <c r="DD34" s="421"/>
      <c r="DE34" s="421"/>
      <c r="DF34" s="421"/>
      <c r="DG34" s="421"/>
      <c r="DH34" s="421"/>
      <c r="DI34" s="421"/>
      <c r="DJ34" s="421"/>
      <c r="DK34" s="421"/>
      <c r="DL34" s="421"/>
      <c r="DM34" s="421"/>
      <c r="DN34" s="421"/>
      <c r="DO34" s="421"/>
      <c r="DP34" s="421"/>
      <c r="DQ34" s="421"/>
      <c r="DR34" s="421"/>
      <c r="DS34" s="421"/>
      <c r="DT34" s="421"/>
      <c r="DU34" s="421"/>
      <c r="DV34" s="421"/>
      <c r="DW34" s="421"/>
      <c r="DX34" s="421"/>
      <c r="DY34" s="421"/>
      <c r="DZ34" s="421"/>
      <c r="EA34" s="421"/>
      <c r="EB34" s="421"/>
      <c r="EC34" s="421"/>
      <c r="ED34" s="421"/>
      <c r="EE34" s="421"/>
      <c r="EF34" s="421"/>
      <c r="EG34" s="421"/>
      <c r="EH34" s="421"/>
      <c r="EI34" s="421"/>
      <c r="EJ34" s="421"/>
      <c r="EK34" s="421"/>
      <c r="EL34" s="421"/>
      <c r="EM34" s="421"/>
      <c r="EN34" s="421"/>
      <c r="EO34" s="421"/>
      <c r="EP34" s="421"/>
      <c r="EQ34" s="421"/>
      <c r="ER34" s="421"/>
      <c r="ES34" s="421"/>
      <c r="ET34" s="421"/>
      <c r="EU34" s="421"/>
      <c r="EV34" s="421"/>
      <c r="EW34" s="421"/>
      <c r="EX34" s="421"/>
    </row>
    <row r="35" spans="1:154" s="388" customFormat="1" ht="15.75" customHeight="1">
      <c r="A35" s="768" t="s">
        <v>391</v>
      </c>
      <c r="B35" s="1681">
        <f>B36+B37+B38+B42+B45</f>
        <v>163548444.22</v>
      </c>
      <c r="C35" s="1682"/>
      <c r="D35" s="1667">
        <f>D36+D37+D38+D42+D45</f>
        <v>5580305</v>
      </c>
      <c r="E35" s="1668"/>
      <c r="F35" s="1668"/>
      <c r="G35" s="1668"/>
      <c r="H35" s="1668"/>
      <c r="I35" s="1668"/>
      <c r="J35" s="1668"/>
      <c r="K35" s="1668"/>
      <c r="L35" s="1668"/>
      <c r="M35" s="1668"/>
      <c r="N35" s="1668"/>
      <c r="O35" s="1668"/>
      <c r="P35" s="1669"/>
      <c r="Q35" s="418"/>
      <c r="R35" s="418"/>
      <c r="S35" s="418"/>
      <c r="T35" s="433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1"/>
      <c r="CC35" s="421"/>
      <c r="CD35" s="421"/>
      <c r="CE35" s="421"/>
      <c r="CF35" s="421"/>
      <c r="CG35" s="421"/>
      <c r="CH35" s="421"/>
      <c r="CI35" s="421"/>
      <c r="CJ35" s="421"/>
      <c r="CK35" s="421"/>
      <c r="CL35" s="421"/>
      <c r="CM35" s="421"/>
      <c r="CN35" s="421"/>
      <c r="CO35" s="421"/>
      <c r="CP35" s="421"/>
      <c r="CQ35" s="421"/>
      <c r="CR35" s="421"/>
      <c r="CS35" s="421"/>
      <c r="CT35" s="421"/>
      <c r="CU35" s="421"/>
      <c r="CV35" s="421"/>
      <c r="CW35" s="421"/>
      <c r="CX35" s="421"/>
      <c r="CY35" s="421"/>
      <c r="CZ35" s="421"/>
      <c r="DA35" s="421"/>
      <c r="DB35" s="421"/>
      <c r="DC35" s="421"/>
      <c r="DD35" s="421"/>
      <c r="DE35" s="421"/>
      <c r="DF35" s="421"/>
      <c r="DG35" s="421"/>
      <c r="DH35" s="421"/>
      <c r="DI35" s="421"/>
      <c r="DJ35" s="421"/>
      <c r="DK35" s="421"/>
      <c r="DL35" s="421"/>
      <c r="DM35" s="421"/>
      <c r="DN35" s="421"/>
      <c r="DO35" s="421"/>
      <c r="DP35" s="421"/>
      <c r="DQ35" s="421"/>
      <c r="DR35" s="421"/>
      <c r="DS35" s="421"/>
      <c r="DT35" s="421"/>
      <c r="DU35" s="421"/>
      <c r="DV35" s="421"/>
      <c r="DW35" s="421"/>
      <c r="DX35" s="421"/>
      <c r="DY35" s="421"/>
      <c r="DZ35" s="421"/>
      <c r="EA35" s="421"/>
      <c r="EB35" s="421"/>
      <c r="EC35" s="421"/>
      <c r="ED35" s="421"/>
      <c r="EE35" s="421"/>
      <c r="EF35" s="421"/>
      <c r="EG35" s="421"/>
      <c r="EH35" s="421"/>
      <c r="EI35" s="421"/>
      <c r="EJ35" s="421"/>
      <c r="EK35" s="421"/>
      <c r="EL35" s="421"/>
      <c r="EM35" s="421"/>
      <c r="EN35" s="421"/>
      <c r="EO35" s="421"/>
      <c r="EP35" s="421"/>
      <c r="EQ35" s="421"/>
      <c r="ER35" s="421"/>
      <c r="ES35" s="421"/>
      <c r="ET35" s="421"/>
      <c r="EU35" s="421"/>
      <c r="EV35" s="421"/>
      <c r="EW35" s="421"/>
      <c r="EX35" s="421"/>
    </row>
    <row r="36" spans="1:154" s="388" customFormat="1" ht="15.75" customHeight="1">
      <c r="A36" s="769" t="s">
        <v>392</v>
      </c>
      <c r="B36" s="1658">
        <f>'Anexo 1 _ BAL ORC'!B37</f>
        <v>163486664.22</v>
      </c>
      <c r="C36" s="1659"/>
      <c r="D36" s="1662">
        <v>5580305</v>
      </c>
      <c r="E36" s="1663"/>
      <c r="F36" s="1663"/>
      <c r="G36" s="1663"/>
      <c r="H36" s="1663"/>
      <c r="I36" s="1663"/>
      <c r="J36" s="1663"/>
      <c r="K36" s="1663"/>
      <c r="L36" s="1663"/>
      <c r="M36" s="1663"/>
      <c r="N36" s="1663"/>
      <c r="O36" s="1663"/>
      <c r="P36" s="1664"/>
      <c r="Q36" s="418"/>
      <c r="R36" s="433"/>
      <c r="S36" s="418"/>
      <c r="T36" s="433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  <c r="AR36" s="421"/>
      <c r="AS36" s="421"/>
      <c r="AT36" s="421"/>
      <c r="AU36" s="421"/>
      <c r="AV36" s="421"/>
      <c r="AW36" s="421"/>
      <c r="AX36" s="421"/>
      <c r="AY36" s="421"/>
      <c r="AZ36" s="421"/>
      <c r="BA36" s="421"/>
      <c r="BB36" s="421"/>
      <c r="BC36" s="421"/>
      <c r="BD36" s="421"/>
      <c r="BE36" s="421"/>
      <c r="BF36" s="421"/>
      <c r="BG36" s="421"/>
      <c r="BH36" s="421"/>
      <c r="BI36" s="421"/>
      <c r="BJ36" s="421"/>
      <c r="BK36" s="421"/>
      <c r="BL36" s="421"/>
      <c r="BM36" s="421"/>
      <c r="BN36" s="421"/>
      <c r="BO36" s="421"/>
      <c r="BP36" s="421"/>
      <c r="BQ36" s="421"/>
      <c r="BR36" s="421"/>
      <c r="BS36" s="421"/>
      <c r="BT36" s="421"/>
      <c r="BU36" s="421"/>
      <c r="BV36" s="421"/>
      <c r="BW36" s="421"/>
      <c r="BX36" s="421"/>
      <c r="BY36" s="421"/>
      <c r="BZ36" s="421"/>
      <c r="CA36" s="421"/>
      <c r="CB36" s="421"/>
      <c r="CC36" s="421"/>
      <c r="CD36" s="421"/>
      <c r="CE36" s="421"/>
      <c r="CF36" s="421"/>
      <c r="CG36" s="421"/>
      <c r="CH36" s="421"/>
      <c r="CI36" s="421"/>
      <c r="CJ36" s="421"/>
      <c r="CK36" s="421"/>
      <c r="CL36" s="421"/>
      <c r="CM36" s="421"/>
      <c r="CN36" s="421"/>
      <c r="CO36" s="421"/>
      <c r="CP36" s="421"/>
      <c r="CQ36" s="421"/>
      <c r="CR36" s="421"/>
      <c r="CS36" s="421"/>
      <c r="CT36" s="421"/>
      <c r="CU36" s="421"/>
      <c r="CV36" s="421"/>
      <c r="CW36" s="421"/>
      <c r="CX36" s="421"/>
      <c r="CY36" s="421"/>
      <c r="CZ36" s="421"/>
      <c r="DA36" s="421"/>
      <c r="DB36" s="421"/>
      <c r="DC36" s="421"/>
      <c r="DD36" s="421"/>
      <c r="DE36" s="421"/>
      <c r="DF36" s="421"/>
      <c r="DG36" s="421"/>
      <c r="DH36" s="421"/>
      <c r="DI36" s="421"/>
      <c r="DJ36" s="421"/>
      <c r="DK36" s="421"/>
      <c r="DL36" s="421"/>
      <c r="DM36" s="421"/>
      <c r="DN36" s="421"/>
      <c r="DO36" s="421"/>
      <c r="DP36" s="421"/>
      <c r="DQ36" s="421"/>
      <c r="DR36" s="421"/>
      <c r="DS36" s="421"/>
      <c r="DT36" s="421"/>
      <c r="DU36" s="421"/>
      <c r="DV36" s="421"/>
      <c r="DW36" s="421"/>
      <c r="DX36" s="421"/>
      <c r="DY36" s="421"/>
      <c r="DZ36" s="421"/>
      <c r="EA36" s="421"/>
      <c r="EB36" s="421"/>
      <c r="EC36" s="421"/>
      <c r="ED36" s="421"/>
      <c r="EE36" s="421"/>
      <c r="EF36" s="421"/>
      <c r="EG36" s="421"/>
      <c r="EH36" s="421"/>
      <c r="EI36" s="421"/>
      <c r="EJ36" s="421"/>
      <c r="EK36" s="421"/>
      <c r="EL36" s="421"/>
      <c r="EM36" s="421"/>
      <c r="EN36" s="421"/>
      <c r="EO36" s="421"/>
      <c r="EP36" s="421"/>
      <c r="EQ36" s="421"/>
      <c r="ER36" s="421"/>
      <c r="ES36" s="421"/>
      <c r="ET36" s="421"/>
      <c r="EU36" s="421"/>
      <c r="EV36" s="421"/>
      <c r="EW36" s="421"/>
      <c r="EX36" s="421"/>
    </row>
    <row r="37" spans="1:154" s="388" customFormat="1" ht="15.75" customHeight="1">
      <c r="A37" s="769" t="s">
        <v>393</v>
      </c>
      <c r="B37" s="1703"/>
      <c r="C37" s="1704"/>
      <c r="D37" s="1662"/>
      <c r="E37" s="1663"/>
      <c r="F37" s="1663"/>
      <c r="G37" s="1663"/>
      <c r="H37" s="1663"/>
      <c r="I37" s="1663"/>
      <c r="J37" s="1663"/>
      <c r="K37" s="1663"/>
      <c r="L37" s="1663"/>
      <c r="M37" s="1663"/>
      <c r="N37" s="1663"/>
      <c r="O37" s="1663"/>
      <c r="P37" s="1664"/>
      <c r="Q37" s="418"/>
      <c r="R37" s="418"/>
      <c r="S37" s="418"/>
      <c r="T37" s="418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21"/>
      <c r="BV37" s="421"/>
      <c r="BW37" s="421"/>
      <c r="BX37" s="421"/>
      <c r="BY37" s="421"/>
      <c r="BZ37" s="421"/>
      <c r="CA37" s="421"/>
      <c r="CB37" s="421"/>
      <c r="CC37" s="421"/>
      <c r="CD37" s="421"/>
      <c r="CE37" s="421"/>
      <c r="CF37" s="421"/>
      <c r="CG37" s="421"/>
      <c r="CH37" s="421"/>
      <c r="CI37" s="421"/>
      <c r="CJ37" s="421"/>
      <c r="CK37" s="421"/>
      <c r="CL37" s="421"/>
      <c r="CM37" s="421"/>
      <c r="CN37" s="421"/>
      <c r="CO37" s="421"/>
      <c r="CP37" s="421"/>
      <c r="CQ37" s="421"/>
      <c r="CR37" s="421"/>
      <c r="CS37" s="421"/>
      <c r="CT37" s="421"/>
      <c r="CU37" s="421"/>
      <c r="CV37" s="421"/>
      <c r="CW37" s="421"/>
      <c r="CX37" s="421"/>
      <c r="CY37" s="421"/>
      <c r="CZ37" s="421"/>
      <c r="DA37" s="421"/>
      <c r="DB37" s="421"/>
      <c r="DC37" s="421"/>
      <c r="DD37" s="421"/>
      <c r="DE37" s="421"/>
      <c r="DF37" s="421"/>
      <c r="DG37" s="421"/>
      <c r="DH37" s="421"/>
      <c r="DI37" s="421"/>
      <c r="DJ37" s="421"/>
      <c r="DK37" s="421"/>
      <c r="DL37" s="421"/>
      <c r="DM37" s="421"/>
      <c r="DN37" s="421"/>
      <c r="DO37" s="421"/>
      <c r="DP37" s="421"/>
      <c r="DQ37" s="421"/>
      <c r="DR37" s="421"/>
      <c r="DS37" s="421"/>
      <c r="DT37" s="421"/>
      <c r="DU37" s="421"/>
      <c r="DV37" s="421"/>
      <c r="DW37" s="421"/>
      <c r="DX37" s="421"/>
      <c r="DY37" s="421"/>
      <c r="DZ37" s="421"/>
      <c r="EA37" s="421"/>
      <c r="EB37" s="421"/>
      <c r="EC37" s="421"/>
      <c r="ED37" s="421"/>
      <c r="EE37" s="421"/>
      <c r="EF37" s="421"/>
      <c r="EG37" s="421"/>
      <c r="EH37" s="421"/>
      <c r="EI37" s="421"/>
      <c r="EJ37" s="421"/>
      <c r="EK37" s="421"/>
      <c r="EL37" s="421"/>
      <c r="EM37" s="421"/>
      <c r="EN37" s="421"/>
      <c r="EO37" s="421"/>
      <c r="EP37" s="421"/>
      <c r="EQ37" s="421"/>
      <c r="ER37" s="421"/>
      <c r="ES37" s="421"/>
      <c r="ET37" s="421"/>
      <c r="EU37" s="421"/>
      <c r="EV37" s="421"/>
      <c r="EW37" s="421"/>
      <c r="EX37" s="421"/>
    </row>
    <row r="38" spans="1:154" s="429" customFormat="1" ht="15.75" customHeight="1">
      <c r="A38" s="769" t="s">
        <v>394</v>
      </c>
      <c r="B38" s="1681">
        <f>B39+B40+B41</f>
        <v>61780</v>
      </c>
      <c r="C38" s="1682"/>
      <c r="D38" s="1662">
        <f>D39+D40+D41</f>
        <v>0</v>
      </c>
      <c r="E38" s="1663"/>
      <c r="F38" s="1663"/>
      <c r="G38" s="1663"/>
      <c r="H38" s="1663"/>
      <c r="I38" s="1663"/>
      <c r="J38" s="1663"/>
      <c r="K38" s="1663"/>
      <c r="L38" s="1663"/>
      <c r="M38" s="1663"/>
      <c r="N38" s="1663"/>
      <c r="O38" s="1663"/>
      <c r="P38" s="1664"/>
      <c r="Q38" s="426"/>
      <c r="R38" s="426"/>
      <c r="S38" s="426"/>
      <c r="T38" s="426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/>
      <c r="BN38" s="427"/>
      <c r="BO38" s="427"/>
      <c r="BP38" s="427"/>
      <c r="BQ38" s="427"/>
      <c r="BR38" s="427"/>
      <c r="BS38" s="427"/>
      <c r="BT38" s="427"/>
      <c r="BU38" s="427"/>
      <c r="BV38" s="427"/>
      <c r="BW38" s="427"/>
      <c r="BX38" s="427"/>
      <c r="BY38" s="427"/>
      <c r="BZ38" s="427"/>
      <c r="CA38" s="427"/>
      <c r="CB38" s="427"/>
      <c r="CC38" s="427"/>
      <c r="CD38" s="427"/>
      <c r="CE38" s="427"/>
      <c r="CF38" s="427"/>
      <c r="CG38" s="427"/>
      <c r="CH38" s="427"/>
      <c r="CI38" s="427"/>
      <c r="CJ38" s="427"/>
      <c r="CK38" s="427"/>
      <c r="CL38" s="427"/>
      <c r="CM38" s="427"/>
      <c r="CN38" s="427"/>
      <c r="CO38" s="427"/>
      <c r="CP38" s="427"/>
      <c r="CQ38" s="427"/>
      <c r="CR38" s="427"/>
      <c r="CS38" s="427"/>
      <c r="CT38" s="427"/>
      <c r="CU38" s="427"/>
      <c r="CV38" s="427"/>
      <c r="CW38" s="427"/>
      <c r="CX38" s="427"/>
      <c r="CY38" s="427"/>
      <c r="CZ38" s="427"/>
      <c r="DA38" s="427"/>
      <c r="DB38" s="427"/>
      <c r="DC38" s="427"/>
      <c r="DD38" s="427"/>
      <c r="DE38" s="427"/>
      <c r="DF38" s="427"/>
      <c r="DG38" s="427"/>
      <c r="DH38" s="427"/>
      <c r="DI38" s="427"/>
      <c r="DJ38" s="427"/>
      <c r="DK38" s="427"/>
      <c r="DL38" s="427"/>
      <c r="DM38" s="427"/>
      <c r="DN38" s="427"/>
      <c r="DO38" s="427"/>
      <c r="DP38" s="427"/>
      <c r="DQ38" s="427"/>
      <c r="DR38" s="427"/>
      <c r="DS38" s="427"/>
      <c r="DT38" s="427"/>
      <c r="DU38" s="427"/>
      <c r="DV38" s="427"/>
      <c r="DW38" s="427"/>
      <c r="DX38" s="427"/>
      <c r="DY38" s="427"/>
      <c r="DZ38" s="427"/>
      <c r="EA38" s="427"/>
      <c r="EB38" s="427"/>
      <c r="EC38" s="427"/>
      <c r="ED38" s="427"/>
      <c r="EE38" s="427"/>
      <c r="EF38" s="427"/>
      <c r="EG38" s="427"/>
      <c r="EH38" s="427"/>
      <c r="EI38" s="427"/>
      <c r="EJ38" s="427"/>
      <c r="EK38" s="427"/>
      <c r="EL38" s="427"/>
      <c r="EM38" s="427"/>
      <c r="EN38" s="427"/>
      <c r="EO38" s="427"/>
      <c r="EP38" s="427"/>
      <c r="EQ38" s="427"/>
      <c r="ER38" s="427"/>
      <c r="ES38" s="427"/>
      <c r="ET38" s="427"/>
      <c r="EU38" s="427"/>
      <c r="EV38" s="427"/>
      <c r="EW38" s="427"/>
      <c r="EX38" s="427"/>
    </row>
    <row r="39" spans="1:154" s="429" customFormat="1" ht="15.75" customHeight="1">
      <c r="A39" s="769" t="s">
        <v>395</v>
      </c>
      <c r="B39" s="1658">
        <v>34329</v>
      </c>
      <c r="C39" s="1659"/>
      <c r="D39" s="1662">
        <v>0</v>
      </c>
      <c r="E39" s="1663"/>
      <c r="F39" s="1663"/>
      <c r="G39" s="1663"/>
      <c r="H39" s="1663"/>
      <c r="I39" s="1663"/>
      <c r="J39" s="1663"/>
      <c r="K39" s="1663"/>
      <c r="L39" s="1663"/>
      <c r="M39" s="1663"/>
      <c r="N39" s="1663"/>
      <c r="O39" s="1663"/>
      <c r="P39" s="1664"/>
      <c r="Q39" s="426"/>
      <c r="R39" s="426"/>
      <c r="S39" s="426"/>
      <c r="T39" s="426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27"/>
      <c r="AO39" s="427"/>
      <c r="AP39" s="427"/>
      <c r="AQ39" s="427"/>
      <c r="AR39" s="427"/>
      <c r="AS39" s="427"/>
      <c r="AT39" s="427"/>
      <c r="AU39" s="427"/>
      <c r="AV39" s="427"/>
      <c r="AW39" s="427"/>
      <c r="AX39" s="427"/>
      <c r="AY39" s="427"/>
      <c r="AZ39" s="427"/>
      <c r="BA39" s="427"/>
      <c r="BB39" s="427"/>
      <c r="BC39" s="427"/>
      <c r="BD39" s="427"/>
      <c r="BE39" s="427"/>
      <c r="BF39" s="427"/>
      <c r="BG39" s="427"/>
      <c r="BH39" s="427"/>
      <c r="BI39" s="427"/>
      <c r="BJ39" s="427"/>
      <c r="BK39" s="427"/>
      <c r="BL39" s="427"/>
      <c r="BM39" s="427"/>
      <c r="BN39" s="427"/>
      <c r="BO39" s="427"/>
      <c r="BP39" s="427"/>
      <c r="BQ39" s="427"/>
      <c r="BR39" s="427"/>
      <c r="BS39" s="427"/>
      <c r="BT39" s="427"/>
      <c r="BU39" s="427"/>
      <c r="BV39" s="427"/>
      <c r="BW39" s="427"/>
      <c r="BX39" s="427"/>
      <c r="BY39" s="427"/>
      <c r="BZ39" s="427"/>
      <c r="CA39" s="427"/>
      <c r="CB39" s="427"/>
      <c r="CC39" s="427"/>
      <c r="CD39" s="427"/>
      <c r="CE39" s="427"/>
      <c r="CF39" s="427"/>
      <c r="CG39" s="427"/>
      <c r="CH39" s="427"/>
      <c r="CI39" s="427"/>
      <c r="CJ39" s="427"/>
      <c r="CK39" s="427"/>
      <c r="CL39" s="427"/>
      <c r="CM39" s="427"/>
      <c r="CN39" s="427"/>
      <c r="CO39" s="427"/>
      <c r="CP39" s="427"/>
      <c r="CQ39" s="427"/>
      <c r="CR39" s="427"/>
      <c r="CS39" s="427"/>
      <c r="CT39" s="427"/>
      <c r="CU39" s="427"/>
      <c r="CV39" s="427"/>
      <c r="CW39" s="427"/>
      <c r="CX39" s="427"/>
      <c r="CY39" s="427"/>
      <c r="CZ39" s="427"/>
      <c r="DA39" s="427"/>
      <c r="DB39" s="427"/>
      <c r="DC39" s="427"/>
      <c r="DD39" s="427"/>
      <c r="DE39" s="427"/>
      <c r="DF39" s="427"/>
      <c r="DG39" s="427"/>
      <c r="DH39" s="427"/>
      <c r="DI39" s="427"/>
      <c r="DJ39" s="427"/>
      <c r="DK39" s="427"/>
      <c r="DL39" s="427"/>
      <c r="DM39" s="427"/>
      <c r="DN39" s="427"/>
      <c r="DO39" s="427"/>
      <c r="DP39" s="427"/>
      <c r="DQ39" s="427"/>
      <c r="DR39" s="427"/>
      <c r="DS39" s="427"/>
      <c r="DT39" s="427"/>
      <c r="DU39" s="427"/>
      <c r="DV39" s="427"/>
      <c r="DW39" s="427"/>
      <c r="DX39" s="427"/>
      <c r="DY39" s="427"/>
      <c r="DZ39" s="427"/>
      <c r="EA39" s="427"/>
      <c r="EB39" s="427"/>
      <c r="EC39" s="427"/>
      <c r="ED39" s="427"/>
      <c r="EE39" s="427"/>
      <c r="EF39" s="427"/>
      <c r="EG39" s="427"/>
      <c r="EH39" s="427"/>
      <c r="EI39" s="427"/>
      <c r="EJ39" s="427"/>
      <c r="EK39" s="427"/>
      <c r="EL39" s="427"/>
      <c r="EM39" s="427"/>
      <c r="EN39" s="427"/>
      <c r="EO39" s="427"/>
      <c r="EP39" s="427"/>
      <c r="EQ39" s="427"/>
      <c r="ER39" s="427"/>
      <c r="ES39" s="427"/>
      <c r="ET39" s="427"/>
      <c r="EU39" s="427"/>
      <c r="EV39" s="427"/>
      <c r="EW39" s="427"/>
      <c r="EX39" s="427"/>
    </row>
    <row r="40" spans="1:154" s="429" customFormat="1" ht="15.75" customHeight="1">
      <c r="A40" s="769" t="s">
        <v>396</v>
      </c>
      <c r="B40" s="1658">
        <v>27451</v>
      </c>
      <c r="C40" s="1659"/>
      <c r="D40" s="1662">
        <v>0</v>
      </c>
      <c r="E40" s="1663"/>
      <c r="F40" s="1663"/>
      <c r="G40" s="1663"/>
      <c r="H40" s="1663"/>
      <c r="I40" s="1663"/>
      <c r="J40" s="1663"/>
      <c r="K40" s="1663"/>
      <c r="L40" s="1663"/>
      <c r="M40" s="1663"/>
      <c r="N40" s="1663"/>
      <c r="O40" s="1663"/>
      <c r="P40" s="1664"/>
      <c r="Q40" s="426"/>
      <c r="R40" s="426"/>
      <c r="S40" s="426"/>
      <c r="T40" s="426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427"/>
      <c r="BU40" s="427"/>
      <c r="BV40" s="427"/>
      <c r="BW40" s="427"/>
      <c r="BX40" s="427"/>
      <c r="BY40" s="427"/>
      <c r="BZ40" s="427"/>
      <c r="CA40" s="427"/>
      <c r="CB40" s="427"/>
      <c r="CC40" s="427"/>
      <c r="CD40" s="427"/>
      <c r="CE40" s="427"/>
      <c r="CF40" s="427"/>
      <c r="CG40" s="427"/>
      <c r="CH40" s="427"/>
      <c r="CI40" s="427"/>
      <c r="CJ40" s="427"/>
      <c r="CK40" s="427"/>
      <c r="CL40" s="427"/>
      <c r="CM40" s="427"/>
      <c r="CN40" s="427"/>
      <c r="CO40" s="427"/>
      <c r="CP40" s="427"/>
      <c r="CQ40" s="427"/>
      <c r="CR40" s="427"/>
      <c r="CS40" s="427"/>
      <c r="CT40" s="427"/>
      <c r="CU40" s="427"/>
      <c r="CV40" s="427"/>
      <c r="CW40" s="427"/>
      <c r="CX40" s="427"/>
      <c r="CY40" s="427"/>
      <c r="CZ40" s="427"/>
      <c r="DA40" s="427"/>
      <c r="DB40" s="427"/>
      <c r="DC40" s="427"/>
      <c r="DD40" s="427"/>
      <c r="DE40" s="427"/>
      <c r="DF40" s="427"/>
      <c r="DG40" s="427"/>
      <c r="DH40" s="427"/>
      <c r="DI40" s="427"/>
      <c r="DJ40" s="427"/>
      <c r="DK40" s="427"/>
      <c r="DL40" s="427"/>
      <c r="DM40" s="427"/>
      <c r="DN40" s="427"/>
      <c r="DO40" s="427"/>
      <c r="DP40" s="427"/>
      <c r="DQ40" s="427"/>
      <c r="DR40" s="427"/>
      <c r="DS40" s="427"/>
      <c r="DT40" s="427"/>
      <c r="DU40" s="427"/>
      <c r="DV40" s="427"/>
      <c r="DW40" s="427"/>
      <c r="DX40" s="427"/>
      <c r="DY40" s="427"/>
      <c r="DZ40" s="427"/>
      <c r="EA40" s="427"/>
      <c r="EB40" s="427"/>
      <c r="EC40" s="427"/>
      <c r="ED40" s="427"/>
      <c r="EE40" s="427"/>
      <c r="EF40" s="427"/>
      <c r="EG40" s="427"/>
      <c r="EH40" s="427"/>
      <c r="EI40" s="427"/>
      <c r="EJ40" s="427"/>
      <c r="EK40" s="427"/>
      <c r="EL40" s="427"/>
      <c r="EM40" s="427"/>
      <c r="EN40" s="427"/>
      <c r="EO40" s="427"/>
      <c r="EP40" s="427"/>
      <c r="EQ40" s="427"/>
      <c r="ER40" s="427"/>
      <c r="ES40" s="427"/>
      <c r="ET40" s="427"/>
      <c r="EU40" s="427"/>
      <c r="EV40" s="427"/>
      <c r="EW40" s="427"/>
      <c r="EX40" s="427"/>
    </row>
    <row r="41" spans="1:154" s="429" customFormat="1" ht="15.75" customHeight="1">
      <c r="A41" s="769" t="s">
        <v>397</v>
      </c>
      <c r="B41" s="1660"/>
      <c r="C41" s="1661"/>
      <c r="D41" s="1662"/>
      <c r="E41" s="1663"/>
      <c r="F41" s="1663"/>
      <c r="G41" s="1663"/>
      <c r="H41" s="1663"/>
      <c r="I41" s="1663"/>
      <c r="J41" s="1663"/>
      <c r="K41" s="1663"/>
      <c r="L41" s="1663"/>
      <c r="M41" s="1663"/>
      <c r="N41" s="1663"/>
      <c r="O41" s="1663"/>
      <c r="P41" s="1664"/>
      <c r="Q41" s="426"/>
      <c r="R41" s="426"/>
      <c r="S41" s="426"/>
      <c r="T41" s="426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27"/>
      <c r="AO41" s="427"/>
      <c r="AP41" s="427"/>
      <c r="AQ41" s="427"/>
      <c r="AR41" s="427"/>
      <c r="AS41" s="427"/>
      <c r="AT41" s="427"/>
      <c r="AU41" s="427"/>
      <c r="AV41" s="427"/>
      <c r="AW41" s="427"/>
      <c r="AX41" s="427"/>
      <c r="AY41" s="427"/>
      <c r="AZ41" s="427"/>
      <c r="BA41" s="427"/>
      <c r="BB41" s="427"/>
      <c r="BC41" s="427"/>
      <c r="BD41" s="427"/>
      <c r="BE41" s="427"/>
      <c r="BF41" s="427"/>
      <c r="BG41" s="427"/>
      <c r="BH41" s="427"/>
      <c r="BI41" s="427"/>
      <c r="BJ41" s="427"/>
      <c r="BK41" s="427"/>
      <c r="BL41" s="427"/>
      <c r="BM41" s="427"/>
      <c r="BN41" s="427"/>
      <c r="BO41" s="427"/>
      <c r="BP41" s="427"/>
      <c r="BQ41" s="427"/>
      <c r="BR41" s="427"/>
      <c r="BS41" s="427"/>
      <c r="BT41" s="427"/>
      <c r="BU41" s="427"/>
      <c r="BV41" s="427"/>
      <c r="BW41" s="427"/>
      <c r="BX41" s="427"/>
      <c r="BY41" s="427"/>
      <c r="BZ41" s="427"/>
      <c r="CA41" s="427"/>
      <c r="CB41" s="427"/>
      <c r="CC41" s="427"/>
      <c r="CD41" s="427"/>
      <c r="CE41" s="427"/>
      <c r="CF41" s="427"/>
      <c r="CG41" s="427"/>
      <c r="CH41" s="427"/>
      <c r="CI41" s="427"/>
      <c r="CJ41" s="427"/>
      <c r="CK41" s="427"/>
      <c r="CL41" s="427"/>
      <c r="CM41" s="427"/>
      <c r="CN41" s="427"/>
      <c r="CO41" s="427"/>
      <c r="CP41" s="427"/>
      <c r="CQ41" s="427"/>
      <c r="CR41" s="427"/>
      <c r="CS41" s="427"/>
      <c r="CT41" s="427"/>
      <c r="CU41" s="427"/>
      <c r="CV41" s="427"/>
      <c r="CW41" s="427"/>
      <c r="CX41" s="427"/>
      <c r="CY41" s="427"/>
      <c r="CZ41" s="427"/>
      <c r="DA41" s="427"/>
      <c r="DB41" s="427"/>
      <c r="DC41" s="427"/>
      <c r="DD41" s="427"/>
      <c r="DE41" s="427"/>
      <c r="DF41" s="427"/>
      <c r="DG41" s="427"/>
      <c r="DH41" s="427"/>
      <c r="DI41" s="427"/>
      <c r="DJ41" s="427"/>
      <c r="DK41" s="427"/>
      <c r="DL41" s="427"/>
      <c r="DM41" s="427"/>
      <c r="DN41" s="427"/>
      <c r="DO41" s="427"/>
      <c r="DP41" s="427"/>
      <c r="DQ41" s="427"/>
      <c r="DR41" s="427"/>
      <c r="DS41" s="427"/>
      <c r="DT41" s="427"/>
      <c r="DU41" s="427"/>
      <c r="DV41" s="427"/>
      <c r="DW41" s="427"/>
      <c r="DX41" s="427"/>
      <c r="DY41" s="427"/>
      <c r="DZ41" s="427"/>
      <c r="EA41" s="427"/>
      <c r="EB41" s="427"/>
      <c r="EC41" s="427"/>
      <c r="ED41" s="427"/>
      <c r="EE41" s="427"/>
      <c r="EF41" s="427"/>
      <c r="EG41" s="427"/>
      <c r="EH41" s="427"/>
      <c r="EI41" s="427"/>
      <c r="EJ41" s="427"/>
      <c r="EK41" s="427"/>
      <c r="EL41" s="427"/>
      <c r="EM41" s="427"/>
      <c r="EN41" s="427"/>
      <c r="EO41" s="427"/>
      <c r="EP41" s="427"/>
      <c r="EQ41" s="427"/>
      <c r="ER41" s="427"/>
      <c r="ES41" s="427"/>
      <c r="ET41" s="427"/>
      <c r="EU41" s="427"/>
      <c r="EV41" s="427"/>
      <c r="EW41" s="427"/>
      <c r="EX41" s="427"/>
    </row>
    <row r="42" spans="1:20" s="429" customFormat="1" ht="15.75" customHeight="1">
      <c r="A42" s="770" t="s">
        <v>165</v>
      </c>
      <c r="B42" s="1681">
        <f>B43+B44</f>
        <v>0</v>
      </c>
      <c r="C42" s="1682"/>
      <c r="D42" s="1714">
        <f>D43+D44</f>
        <v>0</v>
      </c>
      <c r="E42" s="1715"/>
      <c r="F42" s="1715"/>
      <c r="G42" s="1715"/>
      <c r="H42" s="1715"/>
      <c r="I42" s="1715"/>
      <c r="J42" s="1715"/>
      <c r="K42" s="1715"/>
      <c r="L42" s="1715"/>
      <c r="M42" s="1715"/>
      <c r="N42" s="1715"/>
      <c r="O42" s="1715"/>
      <c r="P42" s="1716"/>
      <c r="Q42" s="400"/>
      <c r="R42" s="400"/>
      <c r="S42" s="400"/>
      <c r="T42" s="400"/>
    </row>
    <row r="43" spans="1:20" s="388" customFormat="1" ht="15.75" customHeight="1">
      <c r="A43" s="767" t="s">
        <v>166</v>
      </c>
      <c r="B43" s="1658"/>
      <c r="C43" s="1659"/>
      <c r="D43" s="1662"/>
      <c r="E43" s="1663"/>
      <c r="F43" s="1663"/>
      <c r="G43" s="1663"/>
      <c r="H43" s="1663"/>
      <c r="I43" s="1663"/>
      <c r="J43" s="1663"/>
      <c r="K43" s="1663"/>
      <c r="L43" s="1663"/>
      <c r="M43" s="1663"/>
      <c r="N43" s="1663"/>
      <c r="O43" s="1663"/>
      <c r="P43" s="1664"/>
      <c r="Q43" s="399"/>
      <c r="R43" s="399"/>
      <c r="S43" s="399"/>
      <c r="T43" s="399"/>
    </row>
    <row r="44" spans="1:20" s="388" customFormat="1" ht="15.75" customHeight="1">
      <c r="A44" s="767" t="s">
        <v>167</v>
      </c>
      <c r="B44" s="1697"/>
      <c r="C44" s="1698"/>
      <c r="D44" s="1662"/>
      <c r="E44" s="1663"/>
      <c r="F44" s="1663"/>
      <c r="G44" s="1663"/>
      <c r="H44" s="1663"/>
      <c r="I44" s="1663"/>
      <c r="J44" s="1663"/>
      <c r="K44" s="1663"/>
      <c r="L44" s="1663"/>
      <c r="M44" s="1663"/>
      <c r="N44" s="1663"/>
      <c r="O44" s="1663"/>
      <c r="P44" s="1664"/>
      <c r="Q44" s="399"/>
      <c r="R44" s="399"/>
      <c r="S44" s="399"/>
      <c r="T44" s="417"/>
    </row>
    <row r="45" spans="1:20" s="388" customFormat="1" ht="15.75" customHeight="1">
      <c r="A45" s="770" t="s">
        <v>148</v>
      </c>
      <c r="B45" s="1699">
        <f>B46+B47</f>
        <v>0</v>
      </c>
      <c r="C45" s="1700"/>
      <c r="D45" s="1662">
        <f>D46+D47</f>
        <v>0</v>
      </c>
      <c r="E45" s="1663"/>
      <c r="F45" s="1663"/>
      <c r="G45" s="1663"/>
      <c r="H45" s="1663"/>
      <c r="I45" s="1663"/>
      <c r="J45" s="1663"/>
      <c r="K45" s="1663"/>
      <c r="L45" s="1663"/>
      <c r="M45" s="1663"/>
      <c r="N45" s="1663"/>
      <c r="O45" s="1663"/>
      <c r="P45" s="1664"/>
      <c r="Q45" s="399"/>
      <c r="R45" s="399"/>
      <c r="S45" s="399"/>
      <c r="T45" s="399"/>
    </row>
    <row r="46" spans="1:20" s="388" customFormat="1" ht="15.75" customHeight="1">
      <c r="A46" s="769" t="s">
        <v>399</v>
      </c>
      <c r="B46" s="1665"/>
      <c r="C46" s="1666"/>
      <c r="D46" s="1663"/>
      <c r="E46" s="1663"/>
      <c r="F46" s="1663"/>
      <c r="G46" s="1663"/>
      <c r="H46" s="1663"/>
      <c r="I46" s="1663"/>
      <c r="J46" s="1663"/>
      <c r="K46" s="1663"/>
      <c r="L46" s="1663"/>
      <c r="M46" s="1663"/>
      <c r="N46" s="1663"/>
      <c r="O46" s="1663"/>
      <c r="P46" s="1664"/>
      <c r="Q46" s="399"/>
      <c r="R46" s="399"/>
      <c r="S46" s="399"/>
      <c r="T46" s="399"/>
    </row>
    <row r="47" spans="1:20" s="388" customFormat="1" ht="15.75" customHeight="1">
      <c r="A47" s="769" t="s">
        <v>398</v>
      </c>
      <c r="B47" s="1665"/>
      <c r="C47" s="1666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4"/>
      <c r="Q47" s="399"/>
      <c r="R47" s="399"/>
      <c r="S47" s="399"/>
      <c r="T47" s="399"/>
    </row>
    <row r="48" spans="1:20" s="388" customFormat="1" ht="15.75" customHeight="1">
      <c r="A48" s="1004" t="s">
        <v>400</v>
      </c>
      <c r="B48" s="1701">
        <f>B35-B36-B37-B39-B40-B46</f>
        <v>0</v>
      </c>
      <c r="C48" s="1701"/>
      <c r="D48" s="1655">
        <f>D35-D36-D37-D38</f>
        <v>0</v>
      </c>
      <c r="E48" s="1656"/>
      <c r="F48" s="1656"/>
      <c r="G48" s="1656"/>
      <c r="H48" s="1656"/>
      <c r="I48" s="1656"/>
      <c r="J48" s="1656"/>
      <c r="K48" s="1656"/>
      <c r="L48" s="1656"/>
      <c r="M48" s="1656"/>
      <c r="N48" s="1656"/>
      <c r="O48" s="1656"/>
      <c r="P48" s="1656"/>
      <c r="Q48" s="399"/>
      <c r="R48" s="399"/>
      <c r="S48" s="399"/>
      <c r="T48" s="399"/>
    </row>
    <row r="49" spans="1:20" s="388" customFormat="1" ht="15.75" customHeight="1">
      <c r="A49" s="1003" t="s">
        <v>461</v>
      </c>
      <c r="B49" s="1695">
        <f>B34+B48</f>
        <v>3191256793.14</v>
      </c>
      <c r="C49" s="1696"/>
      <c r="D49" s="1655">
        <f>D34+D48</f>
        <v>560678700.68</v>
      </c>
      <c r="E49" s="1656"/>
      <c r="F49" s="1656"/>
      <c r="G49" s="1656"/>
      <c r="H49" s="1656"/>
      <c r="I49" s="1656"/>
      <c r="J49" s="1656"/>
      <c r="K49" s="1656"/>
      <c r="L49" s="1656"/>
      <c r="M49" s="1656"/>
      <c r="N49" s="1656"/>
      <c r="O49" s="1656"/>
      <c r="P49" s="1657"/>
      <c r="Q49" s="399"/>
      <c r="R49" s="399"/>
      <c r="S49" s="399"/>
      <c r="T49" s="414"/>
    </row>
    <row r="50" spans="1:16" ht="21.75" customHeight="1">
      <c r="A50" s="1683" t="s">
        <v>520</v>
      </c>
      <c r="B50" s="1686" t="s">
        <v>195</v>
      </c>
      <c r="C50" s="1649" t="s">
        <v>542</v>
      </c>
      <c r="D50" s="1650"/>
      <c r="E50" s="1650"/>
      <c r="F50" s="1650"/>
      <c r="G50" s="1650"/>
      <c r="H50" s="1650"/>
      <c r="I50" s="1650"/>
      <c r="J50" s="1650"/>
      <c r="K50" s="1650"/>
      <c r="L50" s="1650"/>
      <c r="M50" s="1650"/>
      <c r="N50" s="1650"/>
      <c r="O50" s="1650"/>
      <c r="P50" s="1651"/>
    </row>
    <row r="51" spans="1:16" ht="21.75" customHeight="1">
      <c r="A51" s="1684"/>
      <c r="B51" s="1687"/>
      <c r="C51" s="1652" t="s">
        <v>242</v>
      </c>
      <c r="D51" s="1652" t="s">
        <v>156</v>
      </c>
      <c r="E51" s="1652" t="s">
        <v>465</v>
      </c>
      <c r="F51" s="903"/>
      <c r="G51" s="903"/>
      <c r="H51" s="903"/>
      <c r="I51" s="903"/>
      <c r="J51" s="903"/>
      <c r="K51" s="903"/>
      <c r="L51" s="903"/>
      <c r="M51" s="903"/>
      <c r="N51" s="1652" t="s">
        <v>466</v>
      </c>
      <c r="O51" s="1653" t="s">
        <v>469</v>
      </c>
      <c r="P51" s="1651"/>
    </row>
    <row r="52" spans="1:16" ht="42" customHeight="1">
      <c r="A52" s="1685"/>
      <c r="B52" s="1688"/>
      <c r="C52" s="1652"/>
      <c r="D52" s="1652"/>
      <c r="E52" s="1652"/>
      <c r="F52" s="902"/>
      <c r="G52" s="902"/>
      <c r="H52" s="902"/>
      <c r="I52" s="902"/>
      <c r="J52" s="902"/>
      <c r="K52" s="902"/>
      <c r="L52" s="902"/>
      <c r="M52" s="902"/>
      <c r="N52" s="1652"/>
      <c r="O52" s="901" t="s">
        <v>467</v>
      </c>
      <c r="P52" s="901" t="s">
        <v>468</v>
      </c>
    </row>
    <row r="53" spans="1:21" ht="15.75" customHeight="1">
      <c r="A53" s="771" t="s">
        <v>462</v>
      </c>
      <c r="B53" s="384">
        <f>B54+B55+B56</f>
        <v>2888787939.12</v>
      </c>
      <c r="C53" s="384">
        <f>C54+C55+C56</f>
        <v>2009065205.27</v>
      </c>
      <c r="D53" s="385">
        <f>D54+D55+D56</f>
        <v>271199837.43</v>
      </c>
      <c r="E53" s="386">
        <f>E54+E55+E56</f>
        <v>222606227.13000003</v>
      </c>
      <c r="F53" s="387"/>
      <c r="G53" s="399"/>
      <c r="H53" s="399"/>
      <c r="I53" s="399"/>
      <c r="J53" s="399"/>
      <c r="K53" s="399"/>
      <c r="L53" s="399"/>
      <c r="M53" s="399"/>
      <c r="N53" s="389">
        <f>N54+N55+N56</f>
        <v>25807672.82</v>
      </c>
      <c r="O53" s="389">
        <f>O54+O55+O56</f>
        <v>27149431.979999997</v>
      </c>
      <c r="P53" s="761">
        <f>P54+P55+P56</f>
        <v>17302191.91</v>
      </c>
      <c r="T53" s="382"/>
      <c r="U53" s="66"/>
    </row>
    <row r="54" spans="1:20" ht="15.75" customHeight="1">
      <c r="A54" s="769" t="s">
        <v>168</v>
      </c>
      <c r="B54" s="390">
        <f>'Anexo 1 _ BAL ORC'!C71</f>
        <v>1715390064.85</v>
      </c>
      <c r="C54" s="390">
        <f>'Anexo 1 _ BAL ORC'!E71</f>
        <v>1563095561.95</v>
      </c>
      <c r="D54" s="391">
        <f>'Anexo 1 _ BAL ORC'!H71</f>
        <v>223248985.42000002</v>
      </c>
      <c r="E54" s="391">
        <f>'Anexo 1 _ BAL ORC'!J71</f>
        <v>202812379.23000002</v>
      </c>
      <c r="F54" s="387"/>
      <c r="G54" s="399"/>
      <c r="H54" s="399"/>
      <c r="I54" s="399"/>
      <c r="J54" s="399"/>
      <c r="K54" s="399"/>
      <c r="L54" s="399"/>
      <c r="M54" s="399"/>
      <c r="N54" s="393">
        <f>8049436.08+3264781.99+57379.12</f>
        <v>11371597.19</v>
      </c>
      <c r="O54" s="393">
        <f>1575886.31+328101.14+345832.79+35257.06</f>
        <v>2285077.3000000003</v>
      </c>
      <c r="P54" s="391">
        <f>1562386.31+18843.75</f>
        <v>1581230.06</v>
      </c>
      <c r="T54" s="81"/>
    </row>
    <row r="55" spans="1:20" ht="15.75" customHeight="1">
      <c r="A55" s="769" t="s">
        <v>401</v>
      </c>
      <c r="B55" s="390">
        <f>'Anexo 1 _ BAL ORC'!C72</f>
        <v>31617935.88</v>
      </c>
      <c r="C55" s="390">
        <f>'Anexo 1 _ BAL ORC'!E72</f>
        <v>11728681.29</v>
      </c>
      <c r="D55" s="391">
        <f>'Anexo 1 _ BAL ORC'!H72</f>
        <v>5179260.57</v>
      </c>
      <c r="E55" s="391">
        <f>'Anexo 1 _ BAL ORC'!J72</f>
        <v>5118549.57</v>
      </c>
      <c r="F55" s="387"/>
      <c r="G55" s="399"/>
      <c r="H55" s="399"/>
      <c r="I55" s="399"/>
      <c r="J55" s="399"/>
      <c r="K55" s="399"/>
      <c r="L55" s="399"/>
      <c r="M55" s="399"/>
      <c r="N55" s="393">
        <v>0</v>
      </c>
      <c r="O55" s="393">
        <v>0</v>
      </c>
      <c r="P55" s="391">
        <v>0</v>
      </c>
      <c r="T55" s="81"/>
    </row>
    <row r="56" spans="1:20" ht="15.75" customHeight="1">
      <c r="A56" s="769" t="s">
        <v>154</v>
      </c>
      <c r="B56" s="390">
        <f>'Anexo 1 _ BAL ORC'!B73</f>
        <v>1141779938.39</v>
      </c>
      <c r="C56" s="390">
        <f>'Anexo 1 _ BAL ORC'!E73</f>
        <v>434240962.03</v>
      </c>
      <c r="D56" s="391">
        <f>'Anexo 1 _ BAL ORC'!H73</f>
        <v>42771591.44</v>
      </c>
      <c r="E56" s="391">
        <f>'Anexo 1 _ BAL ORC'!J73</f>
        <v>14675298.33</v>
      </c>
      <c r="F56" s="390" t="e">
        <f>#REF!+#REF!</f>
        <v>#REF!</v>
      </c>
      <c r="G56" s="390" t="e">
        <f>#REF!+#REF!</f>
        <v>#REF!</v>
      </c>
      <c r="H56" s="390" t="e">
        <f>#REF!+#REF!</f>
        <v>#REF!</v>
      </c>
      <c r="I56" s="390" t="e">
        <f>#REF!+#REF!</f>
        <v>#REF!</v>
      </c>
      <c r="J56" s="390" t="e">
        <f>#REF!+#REF!</f>
        <v>#REF!</v>
      </c>
      <c r="K56" s="390" t="e">
        <f>#REF!+#REF!</f>
        <v>#REF!</v>
      </c>
      <c r="L56" s="390" t="e">
        <f>#REF!+#REF!</f>
        <v>#REF!</v>
      </c>
      <c r="M56" s="390" t="e">
        <f>#REF!+#REF!</f>
        <v>#REF!</v>
      </c>
      <c r="N56" s="390">
        <f>193000+123939.28+13320684.39+28050+4318.46+10200+12750+2324.32+740809.18</f>
        <v>14436075.63</v>
      </c>
      <c r="O56" s="390">
        <f>54179.08+6660.94+151579.61+2640.37+46431.83+318815.05+22354118.33+1201626.31+637328.42+90974.74</f>
        <v>24864354.679999996</v>
      </c>
      <c r="P56" s="390">
        <f>6660.94+22870.2+15038614.64+629502.56+23313.51</f>
        <v>15720961.850000001</v>
      </c>
      <c r="T56" s="81"/>
    </row>
    <row r="57" spans="1:20" ht="15.75" customHeight="1">
      <c r="A57" s="771" t="s">
        <v>402</v>
      </c>
      <c r="B57" s="384">
        <f aca="true" t="shared" si="0" ref="B57:P57">B53-B55</f>
        <v>2857170003.24</v>
      </c>
      <c r="C57" s="384">
        <f t="shared" si="0"/>
        <v>1997336523.98</v>
      </c>
      <c r="D57" s="384">
        <f t="shared" si="0"/>
        <v>266020576.86</v>
      </c>
      <c r="E57" s="384">
        <f t="shared" si="0"/>
        <v>217487677.56000003</v>
      </c>
      <c r="F57" s="384">
        <f t="shared" si="0"/>
        <v>0</v>
      </c>
      <c r="G57" s="384">
        <f t="shared" si="0"/>
        <v>0</v>
      </c>
      <c r="H57" s="384">
        <f t="shared" si="0"/>
        <v>0</v>
      </c>
      <c r="I57" s="384">
        <f t="shared" si="0"/>
        <v>0</v>
      </c>
      <c r="J57" s="384">
        <f t="shared" si="0"/>
        <v>0</v>
      </c>
      <c r="K57" s="384">
        <f t="shared" si="0"/>
        <v>0</v>
      </c>
      <c r="L57" s="384">
        <f t="shared" si="0"/>
        <v>0</v>
      </c>
      <c r="M57" s="384">
        <f t="shared" si="0"/>
        <v>0</v>
      </c>
      <c r="N57" s="384">
        <f t="shared" si="0"/>
        <v>25807672.82</v>
      </c>
      <c r="O57" s="384">
        <f t="shared" si="0"/>
        <v>27149431.979999997</v>
      </c>
      <c r="P57" s="386">
        <f t="shared" si="0"/>
        <v>17302191.91</v>
      </c>
      <c r="T57" s="81"/>
    </row>
    <row r="58" spans="1:20" ht="15.75" customHeight="1">
      <c r="A58" s="772" t="s">
        <v>403</v>
      </c>
      <c r="B58" s="394">
        <f>B59+B60+B65</f>
        <v>413563359.11</v>
      </c>
      <c r="C58" s="394">
        <f aca="true" t="shared" si="1" ref="C58:P58">C59+C60+C65</f>
        <v>74427468.51</v>
      </c>
      <c r="D58" s="394">
        <f t="shared" si="1"/>
        <v>11879145.41</v>
      </c>
      <c r="E58" s="394">
        <f>E59+E60+E65</f>
        <v>10821748.73</v>
      </c>
      <c r="F58" s="394">
        <f t="shared" si="1"/>
        <v>0</v>
      </c>
      <c r="G58" s="394">
        <f t="shared" si="1"/>
        <v>0</v>
      </c>
      <c r="H58" s="394">
        <f t="shared" si="1"/>
        <v>0</v>
      </c>
      <c r="I58" s="394">
        <f t="shared" si="1"/>
        <v>0</v>
      </c>
      <c r="J58" s="394">
        <f t="shared" si="1"/>
        <v>0</v>
      </c>
      <c r="K58" s="394">
        <f t="shared" si="1"/>
        <v>0</v>
      </c>
      <c r="L58" s="394">
        <f t="shared" si="1"/>
        <v>0</v>
      </c>
      <c r="M58" s="394">
        <f t="shared" si="1"/>
        <v>0</v>
      </c>
      <c r="N58" s="394">
        <f t="shared" si="1"/>
        <v>11635073.43</v>
      </c>
      <c r="O58" s="394">
        <f t="shared" si="1"/>
        <v>3234274.78</v>
      </c>
      <c r="P58" s="762">
        <f t="shared" si="1"/>
        <v>2023832.66</v>
      </c>
      <c r="T58" s="81"/>
    </row>
    <row r="59" spans="1:20" ht="15.75" customHeight="1">
      <c r="A59" s="769" t="s">
        <v>169</v>
      </c>
      <c r="B59" s="395">
        <f>'Anexo 1 _ BAL ORC'!C77</f>
        <v>306371011.74</v>
      </c>
      <c r="C59" s="390">
        <f>'Anexo 1 _ BAL ORC'!E77</f>
        <v>11698087.81</v>
      </c>
      <c r="D59" s="391">
        <f>'Anexo 1 _ BAL ORC'!H77</f>
        <v>556684.22</v>
      </c>
      <c r="E59" s="392">
        <f>'Anexo 1 _ BAL ORC'!J77</f>
        <v>0</v>
      </c>
      <c r="F59" s="387"/>
      <c r="G59" s="399"/>
      <c r="H59" s="399"/>
      <c r="I59" s="399"/>
      <c r="J59" s="399"/>
      <c r="K59" s="399"/>
      <c r="L59" s="399"/>
      <c r="M59" s="399"/>
      <c r="N59" s="393">
        <f>1300+42795.76+2424539.46</f>
        <v>2468635.2199999997</v>
      </c>
      <c r="O59" s="393">
        <f>289220.79+527423.46+13011.92+2404618.61</f>
        <v>3234274.78</v>
      </c>
      <c r="P59" s="391">
        <f>568555.88+257114.9+1198161.88</f>
        <v>2023832.66</v>
      </c>
      <c r="T59" s="81"/>
    </row>
    <row r="60" spans="1:20" ht="15.75" customHeight="1">
      <c r="A60" s="769" t="s">
        <v>170</v>
      </c>
      <c r="B60" s="395">
        <f>B61+B62+B64</f>
        <v>0</v>
      </c>
      <c r="C60" s="395">
        <f aca="true" t="shared" si="2" ref="C60:M60">C61+C62+C64</f>
        <v>0</v>
      </c>
      <c r="D60" s="395"/>
      <c r="E60" s="395">
        <f t="shared" si="2"/>
        <v>0</v>
      </c>
      <c r="F60" s="395">
        <f t="shared" si="2"/>
        <v>0</v>
      </c>
      <c r="G60" s="395">
        <f t="shared" si="2"/>
        <v>0</v>
      </c>
      <c r="H60" s="395">
        <f t="shared" si="2"/>
        <v>0</v>
      </c>
      <c r="I60" s="395">
        <f t="shared" si="2"/>
        <v>0</v>
      </c>
      <c r="J60" s="395">
        <f t="shared" si="2"/>
        <v>0</v>
      </c>
      <c r="K60" s="395">
        <f t="shared" si="2"/>
        <v>0</v>
      </c>
      <c r="L60" s="395">
        <f t="shared" si="2"/>
        <v>0</v>
      </c>
      <c r="M60" s="395">
        <f t="shared" si="2"/>
        <v>0</v>
      </c>
      <c r="N60" s="396"/>
      <c r="O60" s="396"/>
      <c r="P60" s="391"/>
      <c r="T60" s="81"/>
    </row>
    <row r="61" spans="1:20" ht="15.75" customHeight="1">
      <c r="A61" s="767" t="s">
        <v>404</v>
      </c>
      <c r="B61" s="395"/>
      <c r="C61" s="395">
        <v>0</v>
      </c>
      <c r="D61" s="397"/>
      <c r="E61" s="395">
        <v>0</v>
      </c>
      <c r="F61" s="395">
        <v>0</v>
      </c>
      <c r="G61" s="395">
        <v>0</v>
      </c>
      <c r="H61" s="395">
        <v>0</v>
      </c>
      <c r="I61" s="395">
        <v>0</v>
      </c>
      <c r="J61" s="395">
        <v>0</v>
      </c>
      <c r="K61" s="395">
        <v>0</v>
      </c>
      <c r="L61" s="395">
        <v>0</v>
      </c>
      <c r="M61" s="395">
        <v>0</v>
      </c>
      <c r="N61" s="393"/>
      <c r="O61" s="393">
        <f>C61-E61</f>
        <v>0</v>
      </c>
      <c r="P61" s="391">
        <f>D61-N61</f>
        <v>0</v>
      </c>
      <c r="T61" s="81"/>
    </row>
    <row r="62" spans="1:20" ht="15.75" customHeight="1">
      <c r="A62" s="767" t="s">
        <v>405</v>
      </c>
      <c r="B62" s="395"/>
      <c r="C62" s="395">
        <v>0</v>
      </c>
      <c r="D62" s="397"/>
      <c r="E62" s="395">
        <v>0</v>
      </c>
      <c r="F62" s="395">
        <v>0</v>
      </c>
      <c r="G62" s="395">
        <v>0</v>
      </c>
      <c r="H62" s="395">
        <v>0</v>
      </c>
      <c r="I62" s="395">
        <v>0</v>
      </c>
      <c r="J62" s="395">
        <v>0</v>
      </c>
      <c r="K62" s="395">
        <v>0</v>
      </c>
      <c r="L62" s="395">
        <v>0</v>
      </c>
      <c r="M62" s="395">
        <v>0</v>
      </c>
      <c r="N62" s="393"/>
      <c r="O62" s="393">
        <f>C62-E62</f>
        <v>0</v>
      </c>
      <c r="P62" s="391">
        <f>D62-N62</f>
        <v>0</v>
      </c>
      <c r="T62" s="82"/>
    </row>
    <row r="63" spans="1:20" ht="15.75" customHeight="1">
      <c r="A63" s="767" t="s">
        <v>406</v>
      </c>
      <c r="B63" s="395"/>
      <c r="C63" s="395"/>
      <c r="D63" s="397"/>
      <c r="E63" s="397"/>
      <c r="F63" s="745"/>
      <c r="G63" s="745"/>
      <c r="H63" s="745"/>
      <c r="I63" s="745"/>
      <c r="J63" s="745"/>
      <c r="K63" s="745"/>
      <c r="L63" s="745"/>
      <c r="M63" s="745"/>
      <c r="N63" s="393"/>
      <c r="O63" s="393"/>
      <c r="P63" s="391"/>
      <c r="T63" s="82"/>
    </row>
    <row r="64" spans="1:16" ht="15.75" customHeight="1">
      <c r="A64" s="767" t="s">
        <v>171</v>
      </c>
      <c r="B64" s="395"/>
      <c r="C64" s="390"/>
      <c r="D64" s="396"/>
      <c r="E64" s="391"/>
      <c r="F64" s="387"/>
      <c r="G64" s="399"/>
      <c r="H64" s="399"/>
      <c r="I64" s="399"/>
      <c r="J64" s="399"/>
      <c r="K64" s="399"/>
      <c r="L64" s="399"/>
      <c r="M64" s="399"/>
      <c r="N64" s="393"/>
      <c r="O64" s="393">
        <f>C64-E64</f>
        <v>0</v>
      </c>
      <c r="P64" s="391">
        <f>D64-N64</f>
        <v>0</v>
      </c>
    </row>
    <row r="65" spans="1:20" ht="15.75" customHeight="1">
      <c r="A65" s="769" t="s">
        <v>407</v>
      </c>
      <c r="B65" s="395">
        <f>'Anexo 1 _ BAL ORC'!C79</f>
        <v>107192347.37</v>
      </c>
      <c r="C65" s="395">
        <f>'Anexo 1 _ BAL ORC'!E79</f>
        <v>62729380.7</v>
      </c>
      <c r="D65" s="391">
        <f>'Anexo 1 _ BAL ORC'!H79</f>
        <v>11322461.19</v>
      </c>
      <c r="E65" s="391">
        <f>'Anexo 1 _ BAL ORC'!J79</f>
        <v>10821748.73</v>
      </c>
      <c r="F65" s="387"/>
      <c r="G65" s="399"/>
      <c r="H65" s="399"/>
      <c r="I65" s="399"/>
      <c r="J65" s="399"/>
      <c r="K65" s="399"/>
      <c r="L65" s="399"/>
      <c r="M65" s="399"/>
      <c r="N65" s="393">
        <v>9166438.21</v>
      </c>
      <c r="O65" s="393">
        <v>0</v>
      </c>
      <c r="P65" s="391">
        <v>0</v>
      </c>
      <c r="T65" s="81"/>
    </row>
    <row r="66" spans="1:20" ht="15.75" customHeight="1">
      <c r="A66" s="772" t="s">
        <v>463</v>
      </c>
      <c r="B66" s="394">
        <f>B58-B61-B62-B63-B65</f>
        <v>306371011.74</v>
      </c>
      <c r="C66" s="394">
        <f>C58-C61-C62-C63-C65</f>
        <v>11698087.810000002</v>
      </c>
      <c r="D66" s="394">
        <f>D58-D61-D62-D63-D65</f>
        <v>556684.2200000007</v>
      </c>
      <c r="E66" s="394">
        <f>E58-E61-E62-E63-E65</f>
        <v>0</v>
      </c>
      <c r="F66" s="394">
        <f aca="true" t="shared" si="3" ref="F66:M66">F58-F61-F62-F65</f>
        <v>0</v>
      </c>
      <c r="G66" s="394">
        <f t="shared" si="3"/>
        <v>0</v>
      </c>
      <c r="H66" s="394">
        <f t="shared" si="3"/>
        <v>0</v>
      </c>
      <c r="I66" s="394">
        <f t="shared" si="3"/>
        <v>0</v>
      </c>
      <c r="J66" s="394">
        <f t="shared" si="3"/>
        <v>0</v>
      </c>
      <c r="K66" s="394">
        <f t="shared" si="3"/>
        <v>0</v>
      </c>
      <c r="L66" s="394">
        <f t="shared" si="3"/>
        <v>0</v>
      </c>
      <c r="M66" s="394">
        <f t="shared" si="3"/>
        <v>0</v>
      </c>
      <c r="N66" s="394">
        <f>N58-N61-N62-N63-N65</f>
        <v>2468635.219999999</v>
      </c>
      <c r="O66" s="394">
        <f>O58-O61-O62-O63-O65</f>
        <v>3234274.78</v>
      </c>
      <c r="P66" s="394">
        <f>P58-P61-P62-P63-P65</f>
        <v>2023832.66</v>
      </c>
      <c r="T66" s="382"/>
    </row>
    <row r="67" spans="1:16" ht="15.75" customHeight="1">
      <c r="A67" s="772" t="s">
        <v>464</v>
      </c>
      <c r="B67" s="395">
        <f>'Anexo 1 _ BAL ORC'!C80</f>
        <v>86308544</v>
      </c>
      <c r="C67" s="1211"/>
      <c r="D67" s="1212"/>
      <c r="E67" s="1213"/>
      <c r="F67" s="1214"/>
      <c r="G67" s="1215"/>
      <c r="H67" s="1215"/>
      <c r="I67" s="1215"/>
      <c r="J67" s="1215"/>
      <c r="K67" s="1215"/>
      <c r="L67" s="1215"/>
      <c r="M67" s="1215"/>
      <c r="N67" s="1216"/>
      <c r="O67" s="1216"/>
      <c r="P67" s="1217"/>
    </row>
    <row r="68" spans="1:20" ht="15.75" customHeight="1">
      <c r="A68" s="773" t="s">
        <v>408</v>
      </c>
      <c r="B68" s="898">
        <f>B57+B66+B67</f>
        <v>3249849558.9799995</v>
      </c>
      <c r="C68" s="898">
        <f aca="true" t="shared" si="4" ref="C68:P68">C57+C66+C67</f>
        <v>2009034611.79</v>
      </c>
      <c r="D68" s="898">
        <f t="shared" si="4"/>
        <v>266577261.08</v>
      </c>
      <c r="E68" s="898">
        <f t="shared" si="4"/>
        <v>217487677.56000003</v>
      </c>
      <c r="F68" s="898">
        <f t="shared" si="4"/>
        <v>0</v>
      </c>
      <c r="G68" s="898">
        <f t="shared" si="4"/>
        <v>0</v>
      </c>
      <c r="H68" s="898">
        <f t="shared" si="4"/>
        <v>0</v>
      </c>
      <c r="I68" s="898">
        <f t="shared" si="4"/>
        <v>0</v>
      </c>
      <c r="J68" s="898">
        <f t="shared" si="4"/>
        <v>0</v>
      </c>
      <c r="K68" s="898">
        <f t="shared" si="4"/>
        <v>0</v>
      </c>
      <c r="L68" s="898">
        <f t="shared" si="4"/>
        <v>0</v>
      </c>
      <c r="M68" s="898">
        <f t="shared" si="4"/>
        <v>0</v>
      </c>
      <c r="N68" s="898">
        <f t="shared" si="4"/>
        <v>28276308.04</v>
      </c>
      <c r="O68" s="898">
        <f t="shared" si="4"/>
        <v>30383706.759999998</v>
      </c>
      <c r="P68" s="898">
        <f t="shared" si="4"/>
        <v>19326024.57</v>
      </c>
      <c r="T68" s="382"/>
    </row>
    <row r="69" spans="1:20" s="38" customFormat="1" ht="36.75" customHeight="1">
      <c r="A69" s="751" t="s">
        <v>409</v>
      </c>
      <c r="B69" s="1709">
        <f>(D49-(E68+N68+P68))</f>
        <v>295588690.50999993</v>
      </c>
      <c r="C69" s="1710"/>
      <c r="D69" s="1710"/>
      <c r="E69" s="1710"/>
      <c r="F69" s="1710"/>
      <c r="G69" s="1710"/>
      <c r="H69" s="1710"/>
      <c r="I69" s="1710"/>
      <c r="J69" s="1710"/>
      <c r="K69" s="1710"/>
      <c r="L69" s="1710"/>
      <c r="M69" s="1710"/>
      <c r="N69" s="1710"/>
      <c r="O69" s="1710"/>
      <c r="P69" s="1711"/>
      <c r="Q69" s="383"/>
      <c r="R69" s="383"/>
      <c r="S69" s="383"/>
      <c r="T69" s="383"/>
    </row>
    <row r="70" spans="1:20" s="38" customFormat="1" ht="15">
      <c r="A70" s="751"/>
      <c r="B70" s="899"/>
      <c r="C70" s="899"/>
      <c r="D70" s="899"/>
      <c r="E70" s="899"/>
      <c r="F70" s="899"/>
      <c r="G70" s="899"/>
      <c r="H70" s="899"/>
      <c r="I70" s="899"/>
      <c r="J70" s="899"/>
      <c r="K70" s="899"/>
      <c r="L70" s="899"/>
      <c r="M70" s="899"/>
      <c r="N70" s="899"/>
      <c r="O70" s="899"/>
      <c r="P70" s="900"/>
      <c r="Q70" s="383"/>
      <c r="R70" s="383"/>
      <c r="S70" s="383"/>
      <c r="T70" s="383"/>
    </row>
    <row r="71" spans="1:16" ht="27.75" customHeight="1">
      <c r="A71" s="748" t="s">
        <v>410</v>
      </c>
      <c r="B71" s="1712" t="s">
        <v>292</v>
      </c>
      <c r="C71" s="1712"/>
      <c r="D71" s="1712"/>
      <c r="E71" s="1712"/>
      <c r="F71" s="1712"/>
      <c r="G71" s="1712"/>
      <c r="H71" s="1712"/>
      <c r="I71" s="1712"/>
      <c r="J71" s="1712"/>
      <c r="K71" s="1712"/>
      <c r="L71" s="1712"/>
      <c r="M71" s="1712"/>
      <c r="N71" s="1712"/>
      <c r="O71" s="1712"/>
      <c r="P71" s="1713"/>
    </row>
    <row r="72" spans="1:16" ht="36" customHeight="1">
      <c r="A72" s="747" t="s">
        <v>411</v>
      </c>
      <c r="B72" s="1708">
        <f>-137966.77*1000</f>
        <v>-137966770</v>
      </c>
      <c r="C72" s="1708"/>
      <c r="D72" s="1708"/>
      <c r="E72" s="1708"/>
      <c r="F72" s="1708"/>
      <c r="G72" s="1708"/>
      <c r="H72" s="1708"/>
      <c r="I72" s="1708"/>
      <c r="J72" s="1708"/>
      <c r="K72" s="1708"/>
      <c r="L72" s="1708"/>
      <c r="M72" s="1708"/>
      <c r="N72" s="1708"/>
      <c r="O72" s="1708"/>
      <c r="P72" s="1708"/>
    </row>
    <row r="73" spans="1:16" ht="15">
      <c r="A73" s="774"/>
      <c r="B73" s="752"/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77"/>
    </row>
    <row r="74" spans="1:16" ht="18.75" customHeight="1">
      <c r="A74" s="1717" t="s">
        <v>412</v>
      </c>
      <c r="B74" s="1719" t="s">
        <v>542</v>
      </c>
      <c r="C74" s="1720"/>
      <c r="D74" s="1720"/>
      <c r="E74" s="1720"/>
      <c r="F74" s="1720"/>
      <c r="G74" s="1720"/>
      <c r="H74" s="1720"/>
      <c r="I74" s="1720"/>
      <c r="J74" s="1720"/>
      <c r="K74" s="1720"/>
      <c r="L74" s="1720"/>
      <c r="M74" s="1720"/>
      <c r="N74" s="1720"/>
      <c r="O74" s="1720"/>
      <c r="P74" s="1721"/>
    </row>
    <row r="75" spans="1:16" ht="27.75" customHeight="1">
      <c r="A75" s="1718"/>
      <c r="B75" s="1722" t="s">
        <v>413</v>
      </c>
      <c r="C75" s="1722"/>
      <c r="D75" s="1722"/>
      <c r="E75" s="1722"/>
      <c r="F75" s="1722"/>
      <c r="G75" s="1722"/>
      <c r="H75" s="1722"/>
      <c r="I75" s="1722"/>
      <c r="J75" s="1722"/>
      <c r="K75" s="1722"/>
      <c r="L75" s="1722"/>
      <c r="M75" s="1722"/>
      <c r="N75" s="1722"/>
      <c r="O75" s="1722"/>
      <c r="P75" s="1722"/>
    </row>
    <row r="76" spans="1:16" ht="20.25" customHeight="1">
      <c r="A76" s="754" t="s">
        <v>521</v>
      </c>
      <c r="B76" s="1648">
        <v>902160.85</v>
      </c>
      <c r="C76" s="1648"/>
      <c r="D76" s="1648"/>
      <c r="E76" s="1648"/>
      <c r="F76" s="1648"/>
      <c r="G76" s="1648"/>
      <c r="H76" s="1648"/>
      <c r="I76" s="1648"/>
      <c r="J76" s="1648"/>
      <c r="K76" s="1648"/>
      <c r="L76" s="1648"/>
      <c r="M76" s="1648"/>
      <c r="N76" s="1648"/>
      <c r="O76" s="1648"/>
      <c r="P76" s="1648"/>
    </row>
    <row r="77" spans="1:16" ht="19.5" customHeight="1">
      <c r="A77" s="754" t="s">
        <v>522</v>
      </c>
      <c r="B77" s="1648">
        <v>5179260.57</v>
      </c>
      <c r="C77" s="1648"/>
      <c r="D77" s="1648"/>
      <c r="E77" s="1648"/>
      <c r="F77" s="1648"/>
      <c r="G77" s="1648"/>
      <c r="H77" s="1648"/>
      <c r="I77" s="1648"/>
      <c r="J77" s="1648"/>
      <c r="K77" s="1648"/>
      <c r="L77" s="1648"/>
      <c r="M77" s="1648"/>
      <c r="N77" s="1648"/>
      <c r="O77" s="1648"/>
      <c r="P77" s="1648"/>
    </row>
    <row r="78" spans="1:16" ht="12.75" customHeight="1">
      <c r="A78" s="775"/>
      <c r="B78" s="750"/>
      <c r="C78" s="750"/>
      <c r="D78" s="750"/>
      <c r="E78" s="750"/>
      <c r="F78" s="750"/>
      <c r="G78" s="750"/>
      <c r="H78" s="750"/>
      <c r="I78" s="750"/>
      <c r="J78" s="750"/>
      <c r="K78" s="750"/>
      <c r="L78" s="750"/>
      <c r="M78" s="750"/>
      <c r="N78" s="750"/>
      <c r="O78" s="750"/>
      <c r="P78" s="778"/>
    </row>
    <row r="79" spans="1:16" ht="36.75" customHeight="1">
      <c r="A79" s="904" t="s">
        <v>523</v>
      </c>
      <c r="B79" s="1654">
        <f>B69+(B76-B77)</f>
        <v>291311590.7899999</v>
      </c>
      <c r="C79" s="1654"/>
      <c r="D79" s="1654"/>
      <c r="E79" s="1654"/>
      <c r="F79" s="1654"/>
      <c r="G79" s="1654"/>
      <c r="H79" s="1654"/>
      <c r="I79" s="1654"/>
      <c r="J79" s="1654"/>
      <c r="K79" s="1654"/>
      <c r="L79" s="1654"/>
      <c r="M79" s="1654"/>
      <c r="N79" s="1654"/>
      <c r="O79" s="1654"/>
      <c r="P79" s="1654"/>
    </row>
    <row r="80" spans="1:16" ht="11.25" customHeight="1">
      <c r="A80" s="776"/>
      <c r="B80" s="750"/>
      <c r="C80" s="750"/>
      <c r="D80" s="750"/>
      <c r="E80" s="750"/>
      <c r="F80" s="750"/>
      <c r="G80" s="750"/>
      <c r="H80" s="750"/>
      <c r="I80" s="750"/>
      <c r="J80" s="750"/>
      <c r="K80" s="750"/>
      <c r="L80" s="750"/>
      <c r="M80" s="750"/>
      <c r="N80" s="750"/>
      <c r="O80" s="750"/>
      <c r="P80" s="778"/>
    </row>
    <row r="81" spans="1:16" ht="36.75" customHeight="1">
      <c r="A81" s="747" t="s">
        <v>414</v>
      </c>
      <c r="B81" s="1654" t="s">
        <v>292</v>
      </c>
      <c r="C81" s="1654"/>
      <c r="D81" s="1654"/>
      <c r="E81" s="1654"/>
      <c r="F81" s="1654"/>
      <c r="G81" s="1654"/>
      <c r="H81" s="1654"/>
      <c r="I81" s="1654"/>
      <c r="J81" s="1654"/>
      <c r="K81" s="1654"/>
      <c r="L81" s="1654"/>
      <c r="M81" s="1654"/>
      <c r="N81" s="1654"/>
      <c r="O81" s="1654"/>
      <c r="P81" s="1654"/>
    </row>
    <row r="82" spans="1:16" ht="36.75" customHeight="1">
      <c r="A82" s="747" t="s">
        <v>411</v>
      </c>
      <c r="B82" s="1708">
        <f>72789.03*1000</f>
        <v>72789030</v>
      </c>
      <c r="C82" s="1708"/>
      <c r="D82" s="1708"/>
      <c r="E82" s="1708"/>
      <c r="F82" s="1708"/>
      <c r="G82" s="1708"/>
      <c r="H82" s="1708"/>
      <c r="I82" s="1708"/>
      <c r="J82" s="1708"/>
      <c r="K82" s="1708"/>
      <c r="L82" s="1708"/>
      <c r="M82" s="1708"/>
      <c r="N82" s="1708"/>
      <c r="O82" s="1708"/>
      <c r="P82" s="1725"/>
    </row>
    <row r="83" spans="1:16" ht="15">
      <c r="A83" s="746"/>
      <c r="B83" s="756"/>
      <c r="C83" s="756"/>
      <c r="D83" s="756"/>
      <c r="E83" s="756"/>
      <c r="F83" s="756"/>
      <c r="G83" s="756"/>
      <c r="H83" s="756"/>
      <c r="I83" s="756"/>
      <c r="J83" s="756"/>
      <c r="K83" s="756"/>
      <c r="L83" s="756"/>
      <c r="M83" s="756"/>
      <c r="N83" s="756"/>
      <c r="O83" s="756"/>
      <c r="P83" s="781"/>
    </row>
    <row r="84" spans="1:16" ht="15">
      <c r="A84" s="746"/>
      <c r="B84" s="756"/>
      <c r="C84" s="756"/>
      <c r="D84" s="756"/>
      <c r="E84" s="756"/>
      <c r="F84" s="756"/>
      <c r="G84" s="756"/>
      <c r="H84" s="756"/>
      <c r="I84" s="756"/>
      <c r="J84" s="756"/>
      <c r="K84" s="756"/>
      <c r="L84" s="756"/>
      <c r="M84" s="756"/>
      <c r="N84" s="756"/>
      <c r="O84" s="756"/>
      <c r="P84" s="756"/>
    </row>
    <row r="85" spans="1:16" ht="15">
      <c r="A85" s="746"/>
      <c r="B85" s="756"/>
      <c r="C85" s="756"/>
      <c r="D85" s="756"/>
      <c r="E85" s="756"/>
      <c r="F85" s="756"/>
      <c r="G85" s="756"/>
      <c r="H85" s="756"/>
      <c r="I85" s="756"/>
      <c r="J85" s="756"/>
      <c r="K85" s="756"/>
      <c r="L85" s="756"/>
      <c r="M85" s="756"/>
      <c r="N85" s="756"/>
      <c r="O85" s="756"/>
      <c r="P85" s="756"/>
    </row>
    <row r="86" spans="1:16" ht="15">
      <c r="A86" s="746"/>
      <c r="B86" s="756"/>
      <c r="C86" s="756"/>
      <c r="D86" s="756"/>
      <c r="E86" s="756"/>
      <c r="F86" s="756"/>
      <c r="G86" s="756"/>
      <c r="H86" s="756"/>
      <c r="I86" s="756"/>
      <c r="J86" s="756"/>
      <c r="K86" s="756"/>
      <c r="L86" s="756"/>
      <c r="M86" s="756"/>
      <c r="N86" s="756"/>
      <c r="O86" s="756"/>
      <c r="P86" s="756"/>
    </row>
    <row r="87" spans="1:16" ht="26.25" customHeight="1">
      <c r="A87" s="1726" t="s">
        <v>415</v>
      </c>
      <c r="B87" s="1726"/>
      <c r="C87" s="1726"/>
      <c r="D87" s="1726"/>
      <c r="E87" s="1726"/>
      <c r="F87" s="1726"/>
      <c r="G87" s="1726"/>
      <c r="H87" s="1726"/>
      <c r="I87" s="1726"/>
      <c r="J87" s="1726"/>
      <c r="K87" s="1726"/>
      <c r="L87" s="1726"/>
      <c r="M87" s="1726"/>
      <c r="N87" s="1726"/>
      <c r="O87" s="1726"/>
      <c r="P87" s="1726"/>
    </row>
    <row r="88" spans="1:16" ht="16.5" customHeight="1">
      <c r="A88" s="1726" t="s">
        <v>416</v>
      </c>
      <c r="B88" s="1654" t="s">
        <v>161</v>
      </c>
      <c r="C88" s="1654"/>
      <c r="D88" s="1654"/>
      <c r="E88" s="1654"/>
      <c r="F88" s="1654"/>
      <c r="G88" s="1654"/>
      <c r="H88" s="1654"/>
      <c r="I88" s="1654"/>
      <c r="J88" s="1654"/>
      <c r="K88" s="1654"/>
      <c r="L88" s="1654"/>
      <c r="M88" s="1654"/>
      <c r="N88" s="1654"/>
      <c r="O88" s="1654"/>
      <c r="P88" s="1654"/>
    </row>
    <row r="89" spans="1:16" ht="16.5" customHeight="1">
      <c r="A89" s="1727"/>
      <c r="B89" s="1654" t="s">
        <v>549</v>
      </c>
      <c r="C89" s="1654"/>
      <c r="D89" s="1654"/>
      <c r="E89" s="1654"/>
      <c r="F89" s="755"/>
      <c r="G89" s="755"/>
      <c r="H89" s="755"/>
      <c r="I89" s="755"/>
      <c r="J89" s="755"/>
      <c r="K89" s="755"/>
      <c r="L89" s="755"/>
      <c r="M89" s="755"/>
      <c r="N89" s="1654" t="s">
        <v>417</v>
      </c>
      <c r="O89" s="1654"/>
      <c r="P89" s="1654"/>
    </row>
    <row r="90" spans="1:20" s="758" customFormat="1" ht="16.5" customHeight="1">
      <c r="A90" s="759" t="s">
        <v>418</v>
      </c>
      <c r="B90" s="1654">
        <v>896478126</v>
      </c>
      <c r="C90" s="1654"/>
      <c r="D90" s="1654"/>
      <c r="E90" s="1654"/>
      <c r="F90" s="1654"/>
      <c r="G90" s="1654"/>
      <c r="H90" s="1724" t="s">
        <v>417</v>
      </c>
      <c r="I90" s="1724"/>
      <c r="J90" s="1728"/>
      <c r="K90" s="1723" t="s">
        <v>417</v>
      </c>
      <c r="L90" s="1724"/>
      <c r="M90" s="1724"/>
      <c r="N90" s="1654">
        <v>912696795.7</v>
      </c>
      <c r="O90" s="1654"/>
      <c r="P90" s="1654"/>
      <c r="Q90" s="749"/>
      <c r="R90" s="749"/>
      <c r="S90" s="749"/>
      <c r="T90" s="749"/>
    </row>
    <row r="91" spans="1:20" s="758" customFormat="1" ht="16.5" customHeight="1">
      <c r="A91" s="759" t="s">
        <v>419</v>
      </c>
      <c r="B91" s="1654">
        <f>B92</f>
        <v>323434188.77</v>
      </c>
      <c r="C91" s="1654"/>
      <c r="D91" s="1654"/>
      <c r="E91" s="1654"/>
      <c r="F91" s="1654"/>
      <c r="G91" s="1654"/>
      <c r="H91" s="1733" t="s">
        <v>417</v>
      </c>
      <c r="I91" s="1733"/>
      <c r="J91" s="1734"/>
      <c r="K91" s="1732" t="s">
        <v>417</v>
      </c>
      <c r="L91" s="1733"/>
      <c r="M91" s="1733"/>
      <c r="N91" s="1654">
        <f>N92+N95</f>
        <v>590571305.19</v>
      </c>
      <c r="O91" s="1654"/>
      <c r="P91" s="1654"/>
      <c r="Q91" s="749"/>
      <c r="R91" s="749"/>
      <c r="S91" s="749"/>
      <c r="T91" s="749"/>
    </row>
    <row r="92" spans="1:16" ht="16.5" customHeight="1">
      <c r="A92" s="760" t="s">
        <v>470</v>
      </c>
      <c r="B92" s="1654">
        <f>B93-B94</f>
        <v>323434188.77</v>
      </c>
      <c r="C92" s="1654"/>
      <c r="D92" s="1654"/>
      <c r="E92" s="1654"/>
      <c r="F92" s="1654"/>
      <c r="G92" s="1654"/>
      <c r="H92" s="1733" t="s">
        <v>417</v>
      </c>
      <c r="I92" s="1733"/>
      <c r="J92" s="1734"/>
      <c r="K92" s="1732" t="s">
        <v>417</v>
      </c>
      <c r="L92" s="1733"/>
      <c r="M92" s="1733"/>
      <c r="N92" s="1654">
        <f>N93-N94</f>
        <v>590571305.19</v>
      </c>
      <c r="O92" s="1654"/>
      <c r="P92" s="1654"/>
    </row>
    <row r="93" spans="1:16" ht="16.5" customHeight="1">
      <c r="A93" s="760" t="s">
        <v>420</v>
      </c>
      <c r="B93" s="1648">
        <v>630102732</v>
      </c>
      <c r="C93" s="1648"/>
      <c r="D93" s="1648"/>
      <c r="E93" s="1648"/>
      <c r="F93" s="1648"/>
      <c r="G93" s="1648"/>
      <c r="H93" s="1733" t="s">
        <v>417</v>
      </c>
      <c r="I93" s="1733"/>
      <c r="J93" s="1734"/>
      <c r="K93" s="1732" t="s">
        <v>417</v>
      </c>
      <c r="L93" s="1733"/>
      <c r="M93" s="1733"/>
      <c r="N93" s="1648">
        <v>874999439.5</v>
      </c>
      <c r="O93" s="1648"/>
      <c r="P93" s="1648"/>
    </row>
    <row r="94" spans="1:16" ht="16.5" customHeight="1">
      <c r="A94" s="760" t="s">
        <v>499</v>
      </c>
      <c r="B94" s="1648">
        <v>306668543.23</v>
      </c>
      <c r="C94" s="1648"/>
      <c r="D94" s="1648"/>
      <c r="E94" s="1648"/>
      <c r="F94" s="1648"/>
      <c r="G94" s="1648"/>
      <c r="H94" s="1733" t="s">
        <v>417</v>
      </c>
      <c r="I94" s="1733"/>
      <c r="J94" s="1734"/>
      <c r="K94" s="1732" t="s">
        <v>417</v>
      </c>
      <c r="L94" s="1733"/>
      <c r="M94" s="1733"/>
      <c r="N94" s="1648">
        <v>284428134.31</v>
      </c>
      <c r="O94" s="1648"/>
      <c r="P94" s="1648"/>
    </row>
    <row r="95" spans="1:16" ht="16.5" customHeight="1">
      <c r="A95" s="760" t="s">
        <v>331</v>
      </c>
      <c r="B95" s="1654">
        <v>0</v>
      </c>
      <c r="C95" s="1654"/>
      <c r="D95" s="1654"/>
      <c r="E95" s="1654"/>
      <c r="F95" s="1654"/>
      <c r="G95" s="1654"/>
      <c r="H95" s="1733" t="s">
        <v>417</v>
      </c>
      <c r="I95" s="1733"/>
      <c r="J95" s="1734"/>
      <c r="K95" s="1732" t="s">
        <v>417</v>
      </c>
      <c r="L95" s="1733"/>
      <c r="M95" s="1733"/>
      <c r="N95" s="1654">
        <v>0</v>
      </c>
      <c r="O95" s="1654"/>
      <c r="P95" s="1654"/>
    </row>
    <row r="96" spans="1:20" s="758" customFormat="1" ht="16.5" customHeight="1">
      <c r="A96" s="759" t="s">
        <v>498</v>
      </c>
      <c r="B96" s="1654">
        <f>B90-B91</f>
        <v>573043937.23</v>
      </c>
      <c r="C96" s="1654"/>
      <c r="D96" s="1654"/>
      <c r="E96" s="1654"/>
      <c r="F96" s="1654"/>
      <c r="G96" s="1654"/>
      <c r="H96" s="1735" t="s">
        <v>417</v>
      </c>
      <c r="I96" s="1735"/>
      <c r="J96" s="1736"/>
      <c r="K96" s="1737" t="s">
        <v>417</v>
      </c>
      <c r="L96" s="1735"/>
      <c r="M96" s="1735"/>
      <c r="N96" s="1654">
        <f>N90-N91</f>
        <v>322125490.51</v>
      </c>
      <c r="O96" s="1654"/>
      <c r="P96" s="1654"/>
      <c r="Q96" s="749"/>
      <c r="R96" s="749"/>
      <c r="S96" s="749"/>
      <c r="T96" s="749"/>
    </row>
    <row r="97" spans="1:16" ht="36" customHeight="1">
      <c r="A97" s="759" t="s">
        <v>773</v>
      </c>
      <c r="B97" s="1654">
        <f>B96-N96</f>
        <v>250918446.72000003</v>
      </c>
      <c r="C97" s="1654"/>
      <c r="D97" s="1654"/>
      <c r="E97" s="1654"/>
      <c r="F97" s="1654"/>
      <c r="G97" s="1654"/>
      <c r="H97" s="1654"/>
      <c r="I97" s="1654"/>
      <c r="J97" s="1654"/>
      <c r="K97" s="1654"/>
      <c r="L97" s="1654"/>
      <c r="M97" s="1654"/>
      <c r="N97" s="1654"/>
      <c r="O97" s="1654"/>
      <c r="P97" s="1654"/>
    </row>
    <row r="98" spans="1:16" ht="16.5" customHeight="1">
      <c r="A98" s="775"/>
      <c r="B98" s="750"/>
      <c r="C98" s="750"/>
      <c r="D98" s="750"/>
      <c r="E98" s="750"/>
      <c r="F98" s="750"/>
      <c r="G98" s="750"/>
      <c r="H98" s="750"/>
      <c r="I98" s="750"/>
      <c r="J98" s="750"/>
      <c r="K98" s="750"/>
      <c r="L98" s="750"/>
      <c r="M98" s="750"/>
      <c r="N98" s="750"/>
      <c r="O98" s="750"/>
      <c r="P98" s="778"/>
    </row>
    <row r="99" spans="1:16" ht="32.25" customHeight="1">
      <c r="A99" s="757" t="s">
        <v>439</v>
      </c>
      <c r="B99" s="1654" t="s">
        <v>542</v>
      </c>
      <c r="C99" s="1654"/>
      <c r="D99" s="1654"/>
      <c r="E99" s="1654"/>
      <c r="F99" s="1654"/>
      <c r="G99" s="1654"/>
      <c r="H99" s="1654"/>
      <c r="I99" s="1654"/>
      <c r="J99" s="1654"/>
      <c r="K99" s="1654"/>
      <c r="L99" s="1654"/>
      <c r="M99" s="1654"/>
      <c r="N99" s="1654"/>
      <c r="O99" s="1654"/>
      <c r="P99" s="1654"/>
    </row>
    <row r="100" spans="1:16" ht="16.5" customHeight="1">
      <c r="A100" s="754" t="s">
        <v>774</v>
      </c>
      <c r="B100" s="1648">
        <f>B94-N94</f>
        <v>22240408.920000017</v>
      </c>
      <c r="C100" s="1648"/>
      <c r="D100" s="1648"/>
      <c r="E100" s="1648"/>
      <c r="F100" s="1648"/>
      <c r="G100" s="1648"/>
      <c r="H100" s="1648"/>
      <c r="I100" s="1648"/>
      <c r="J100" s="1648"/>
      <c r="K100" s="1648"/>
      <c r="L100" s="1648"/>
      <c r="M100" s="1648"/>
      <c r="N100" s="1648"/>
      <c r="O100" s="1648"/>
      <c r="P100" s="1648"/>
    </row>
    <row r="101" spans="1:16" ht="16.5" customHeight="1">
      <c r="A101" s="754" t="s">
        <v>776</v>
      </c>
      <c r="B101" s="1648">
        <f>D40</f>
        <v>0</v>
      </c>
      <c r="C101" s="1648"/>
      <c r="D101" s="1648"/>
      <c r="E101" s="1648"/>
      <c r="F101" s="1648"/>
      <c r="G101" s="1648"/>
      <c r="H101" s="1648"/>
      <c r="I101" s="1648"/>
      <c r="J101" s="1648"/>
      <c r="K101" s="1648"/>
      <c r="L101" s="1648"/>
      <c r="M101" s="1648"/>
      <c r="N101" s="1648"/>
      <c r="O101" s="1648"/>
      <c r="P101" s="1648"/>
    </row>
    <row r="102" spans="1:16" ht="16.5" customHeight="1">
      <c r="A102" s="754" t="s">
        <v>775</v>
      </c>
      <c r="B102" s="1648">
        <v>345747296.49</v>
      </c>
      <c r="C102" s="1648"/>
      <c r="D102" s="1648"/>
      <c r="E102" s="1648"/>
      <c r="F102" s="1648"/>
      <c r="G102" s="1648"/>
      <c r="H102" s="1648"/>
      <c r="I102" s="1648"/>
      <c r="J102" s="1648"/>
      <c r="K102" s="1648"/>
      <c r="L102" s="1648"/>
      <c r="M102" s="1648"/>
      <c r="N102" s="1648"/>
      <c r="O102" s="1648"/>
      <c r="P102" s="1648"/>
    </row>
    <row r="103" spans="1:16" ht="16.5" customHeight="1">
      <c r="A103" s="754" t="s">
        <v>500</v>
      </c>
      <c r="B103" s="1648">
        <v>-34066146.82</v>
      </c>
      <c r="C103" s="1648"/>
      <c r="D103" s="1648"/>
      <c r="E103" s="1648"/>
      <c r="F103" s="1648"/>
      <c r="G103" s="1648"/>
      <c r="H103" s="1648"/>
      <c r="I103" s="1648"/>
      <c r="J103" s="1648"/>
      <c r="K103" s="1648"/>
      <c r="L103" s="1648"/>
      <c r="M103" s="1648"/>
      <c r="N103" s="1648"/>
      <c r="O103" s="1648"/>
      <c r="P103" s="1648"/>
    </row>
    <row r="104" spans="1:16" ht="16.5" customHeight="1">
      <c r="A104" s="754" t="s">
        <v>501</v>
      </c>
      <c r="B104" s="1648">
        <v>3451693.3</v>
      </c>
      <c r="C104" s="1648"/>
      <c r="D104" s="1648"/>
      <c r="E104" s="1648"/>
      <c r="F104" s="1648"/>
      <c r="G104" s="1648"/>
      <c r="H104" s="1648"/>
      <c r="I104" s="1648"/>
      <c r="J104" s="1648"/>
      <c r="K104" s="1648"/>
      <c r="L104" s="1648"/>
      <c r="M104" s="1648"/>
      <c r="N104" s="1648"/>
      <c r="O104" s="1648"/>
      <c r="P104" s="1648"/>
    </row>
    <row r="105" spans="1:16" ht="16.5" customHeight="1">
      <c r="A105" s="754" t="s">
        <v>543</v>
      </c>
      <c r="B105" s="1648"/>
      <c r="C105" s="1648"/>
      <c r="D105" s="1648"/>
      <c r="E105" s="1648"/>
      <c r="F105" s="1648"/>
      <c r="G105" s="1648"/>
      <c r="H105" s="1648"/>
      <c r="I105" s="1648"/>
      <c r="J105" s="1648"/>
      <c r="K105" s="1648"/>
      <c r="L105" s="1648"/>
      <c r="M105" s="1648"/>
      <c r="N105" s="1648"/>
      <c r="O105" s="1648"/>
      <c r="P105" s="1648"/>
    </row>
    <row r="106" spans="1:16" ht="16.5" customHeight="1">
      <c r="A106" s="754" t="s">
        <v>544</v>
      </c>
      <c r="B106" s="1648"/>
      <c r="C106" s="1648"/>
      <c r="D106" s="1648"/>
      <c r="E106" s="1648"/>
      <c r="F106" s="1648"/>
      <c r="G106" s="1648"/>
      <c r="H106" s="1648"/>
      <c r="I106" s="1648"/>
      <c r="J106" s="1648"/>
      <c r="K106" s="1648"/>
      <c r="L106" s="1648"/>
      <c r="M106" s="1648"/>
      <c r="N106" s="1648"/>
      <c r="O106" s="1648"/>
      <c r="P106" s="1648"/>
    </row>
    <row r="107" spans="1:20" s="758" customFormat="1" ht="42.75" customHeight="1">
      <c r="A107" s="747" t="s">
        <v>545</v>
      </c>
      <c r="B107" s="1654">
        <f>(B97-B100-B101+B102+B103-B104+B105+B106)</f>
        <v>536907494.17</v>
      </c>
      <c r="C107" s="1654"/>
      <c r="D107" s="1654"/>
      <c r="E107" s="1654"/>
      <c r="F107" s="1654"/>
      <c r="G107" s="1654"/>
      <c r="H107" s="1654"/>
      <c r="I107" s="1654"/>
      <c r="J107" s="1654"/>
      <c r="K107" s="1654"/>
      <c r="L107" s="1654"/>
      <c r="M107" s="1654"/>
      <c r="N107" s="1654"/>
      <c r="O107" s="1654"/>
      <c r="P107" s="1654"/>
      <c r="Q107" s="749"/>
      <c r="R107" s="749"/>
      <c r="S107" s="749"/>
      <c r="T107" s="749"/>
    </row>
    <row r="108" spans="1:16" ht="16.5" customHeight="1">
      <c r="A108" s="775"/>
      <c r="B108" s="750"/>
      <c r="C108" s="750"/>
      <c r="D108" s="750"/>
      <c r="E108" s="750"/>
      <c r="F108" s="750"/>
      <c r="G108" s="750"/>
      <c r="H108" s="750"/>
      <c r="I108" s="750"/>
      <c r="J108" s="750"/>
      <c r="K108" s="750"/>
      <c r="L108" s="750"/>
      <c r="M108" s="750"/>
      <c r="N108" s="750"/>
      <c r="O108" s="750"/>
      <c r="P108" s="778"/>
    </row>
    <row r="109" spans="1:20" s="758" customFormat="1" ht="42.75" customHeight="1">
      <c r="A109" s="747" t="s">
        <v>546</v>
      </c>
      <c r="B109" s="1654">
        <f>B107-(B76-B77)</f>
        <v>541184593.89</v>
      </c>
      <c r="C109" s="1654"/>
      <c r="D109" s="1654"/>
      <c r="E109" s="1654"/>
      <c r="F109" s="1654"/>
      <c r="G109" s="1654"/>
      <c r="H109" s="1654"/>
      <c r="I109" s="1654"/>
      <c r="J109" s="1654"/>
      <c r="K109" s="1654"/>
      <c r="L109" s="1654"/>
      <c r="M109" s="1654"/>
      <c r="N109" s="1654"/>
      <c r="O109" s="1654"/>
      <c r="P109" s="1654"/>
      <c r="Q109" s="749"/>
      <c r="R109" s="749"/>
      <c r="S109" s="749"/>
      <c r="T109" s="749"/>
    </row>
    <row r="110" spans="1:16" ht="16.5" customHeight="1">
      <c r="A110" s="775"/>
      <c r="B110" s="750"/>
      <c r="C110" s="750"/>
      <c r="D110" s="750"/>
      <c r="E110" s="750"/>
      <c r="F110" s="750"/>
      <c r="G110" s="750"/>
      <c r="H110" s="750"/>
      <c r="I110" s="750"/>
      <c r="J110" s="750"/>
      <c r="K110" s="750"/>
      <c r="L110" s="750"/>
      <c r="M110" s="750"/>
      <c r="N110" s="750"/>
      <c r="O110" s="750"/>
      <c r="P110" s="778"/>
    </row>
    <row r="111" spans="1:20" s="758" customFormat="1" ht="33.75" customHeight="1">
      <c r="A111" s="757" t="s">
        <v>421</v>
      </c>
      <c r="B111" s="1654" t="s">
        <v>422</v>
      </c>
      <c r="C111" s="1654"/>
      <c r="D111" s="1654"/>
      <c r="E111" s="1654"/>
      <c r="F111" s="1654"/>
      <c r="G111" s="1654"/>
      <c r="H111" s="1654"/>
      <c r="I111" s="1654"/>
      <c r="J111" s="1654"/>
      <c r="K111" s="1654"/>
      <c r="L111" s="1654"/>
      <c r="M111" s="1654"/>
      <c r="N111" s="1654"/>
      <c r="O111" s="1654"/>
      <c r="P111" s="1654"/>
      <c r="Q111" s="749"/>
      <c r="R111" s="749"/>
      <c r="S111" s="749"/>
      <c r="T111" s="749"/>
    </row>
    <row r="112" spans="1:16" ht="16.5" customHeight="1">
      <c r="A112" s="754" t="s">
        <v>423</v>
      </c>
      <c r="B112" s="1648"/>
      <c r="C112" s="1648"/>
      <c r="D112" s="1648"/>
      <c r="E112" s="1648"/>
      <c r="F112" s="1648"/>
      <c r="G112" s="1648"/>
      <c r="H112" s="1648"/>
      <c r="I112" s="1648"/>
      <c r="J112" s="1648"/>
      <c r="K112" s="1648"/>
      <c r="L112" s="1648"/>
      <c r="M112" s="1648"/>
      <c r="N112" s="1648"/>
      <c r="O112" s="1648"/>
      <c r="P112" s="1648"/>
    </row>
    <row r="113" spans="1:16" ht="16.5" customHeight="1">
      <c r="A113" s="754" t="s">
        <v>471</v>
      </c>
      <c r="B113" s="1648"/>
      <c r="C113" s="1648"/>
      <c r="D113" s="1648"/>
      <c r="E113" s="1648"/>
      <c r="F113" s="1648"/>
      <c r="G113" s="1648"/>
      <c r="H113" s="1648"/>
      <c r="I113" s="1648"/>
      <c r="J113" s="1648"/>
      <c r="K113" s="1648"/>
      <c r="L113" s="1648"/>
      <c r="M113" s="1648"/>
      <c r="N113" s="1648"/>
      <c r="O113" s="1648"/>
      <c r="P113" s="1648"/>
    </row>
    <row r="114" spans="1:16" ht="16.5" customHeight="1">
      <c r="A114" s="754" t="s">
        <v>472</v>
      </c>
      <c r="B114" s="1654">
        <f>'Anexo 1 _ BAL ORC'!C63</f>
        <v>42827601.07000017</v>
      </c>
      <c r="C114" s="1654"/>
      <c r="D114" s="1654"/>
      <c r="E114" s="1654"/>
      <c r="F114" s="1654"/>
      <c r="G114" s="1654"/>
      <c r="H114" s="1654"/>
      <c r="I114" s="1654"/>
      <c r="J114" s="1654"/>
      <c r="K114" s="1654"/>
      <c r="L114" s="1654"/>
      <c r="M114" s="1654"/>
      <c r="N114" s="1654"/>
      <c r="O114" s="1654"/>
      <c r="P114" s="1654"/>
    </row>
    <row r="115" spans="1:16" ht="16.5" customHeight="1">
      <c r="A115" s="754" t="s">
        <v>159</v>
      </c>
      <c r="B115" s="1648"/>
      <c r="C115" s="1648"/>
      <c r="D115" s="1648"/>
      <c r="E115" s="1648"/>
      <c r="F115" s="1648"/>
      <c r="G115" s="1648"/>
      <c r="H115" s="1648"/>
      <c r="I115" s="1648"/>
      <c r="J115" s="1648"/>
      <c r="K115" s="1648"/>
      <c r="L115" s="1648"/>
      <c r="M115" s="1648"/>
      <c r="N115" s="1648"/>
      <c r="O115" s="1648"/>
      <c r="P115" s="1648"/>
    </row>
    <row r="116" spans="1:20" s="36" customFormat="1" ht="15" customHeight="1">
      <c r="A116" s="263" t="s">
        <v>56</v>
      </c>
      <c r="B116" s="39"/>
      <c r="C116" s="39"/>
      <c r="D116" s="32"/>
      <c r="E116" s="32"/>
      <c r="O116" s="41"/>
      <c r="P116" s="87"/>
      <c r="Q116" s="87"/>
      <c r="R116" s="87"/>
      <c r="S116" s="87"/>
      <c r="T116" s="87"/>
    </row>
    <row r="117" spans="1:23" s="36" customFormat="1" ht="15" customHeight="1">
      <c r="A117" s="438" t="str">
        <f>'Anexo 4 _ PREVID '!A147</f>
        <v>  São Luís, 24 de março de 2021</v>
      </c>
      <c r="B117" s="39"/>
      <c r="C117" s="39"/>
      <c r="D117" s="32"/>
      <c r="E117" s="32"/>
      <c r="O117" s="41"/>
      <c r="P117" s="87"/>
      <c r="Q117" s="87"/>
      <c r="R117" s="87"/>
      <c r="S117" s="87"/>
      <c r="T117" s="87"/>
      <c r="W117" s="67"/>
    </row>
    <row r="118" spans="1:20" s="36" customFormat="1" ht="15" customHeight="1">
      <c r="A118" s="40"/>
      <c r="B118" s="27"/>
      <c r="C118" s="24"/>
      <c r="D118" s="24"/>
      <c r="E118" s="77"/>
      <c r="O118" s="41"/>
      <c r="P118" s="87"/>
      <c r="Q118" s="87"/>
      <c r="R118" s="87"/>
      <c r="S118" s="87"/>
      <c r="T118" s="87"/>
    </row>
    <row r="119" spans="1:16" s="402" customFormat="1" ht="12.75" customHeight="1">
      <c r="A119" s="246"/>
      <c r="B119" s="246"/>
      <c r="C119" s="246"/>
      <c r="D119" s="246"/>
      <c r="E119" s="246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</row>
    <row r="120" spans="1:16" s="436" customFormat="1" ht="15" customHeight="1">
      <c r="A120" s="434"/>
      <c r="B120" s="434"/>
      <c r="C120" s="434"/>
      <c r="D120" s="434"/>
      <c r="E120" s="434"/>
      <c r="F120" s="434"/>
      <c r="G120" s="434"/>
      <c r="H120" s="434"/>
      <c r="I120" s="434"/>
      <c r="J120" s="434"/>
      <c r="K120" s="434"/>
      <c r="L120" s="434"/>
      <c r="M120" s="434"/>
      <c r="N120" s="434"/>
      <c r="O120" s="435"/>
      <c r="P120" s="434"/>
    </row>
    <row r="121" spans="1:16" s="436" customFormat="1" ht="15" customHeight="1">
      <c r="A121" s="434"/>
      <c r="B121" s="434"/>
      <c r="C121" s="434"/>
      <c r="D121" s="434"/>
      <c r="E121" s="437"/>
      <c r="F121" s="434"/>
      <c r="G121" s="434"/>
      <c r="H121" s="434"/>
      <c r="I121" s="434"/>
      <c r="J121" s="434"/>
      <c r="K121" s="434"/>
      <c r="L121" s="434"/>
      <c r="M121" s="434"/>
      <c r="N121" s="434"/>
      <c r="O121" s="435"/>
      <c r="P121" s="434"/>
    </row>
    <row r="122" spans="1:16" s="436" customFormat="1" ht="15" customHeight="1">
      <c r="A122" s="434"/>
      <c r="B122" s="434"/>
      <c r="C122" s="434"/>
      <c r="D122" s="434"/>
      <c r="E122" s="434"/>
      <c r="F122" s="434"/>
      <c r="G122" s="434"/>
      <c r="H122" s="434"/>
      <c r="I122" s="434"/>
      <c r="J122" s="434"/>
      <c r="K122" s="434"/>
      <c r="L122" s="434"/>
      <c r="M122" s="434"/>
      <c r="N122" s="434"/>
      <c r="O122" s="435"/>
      <c r="P122" s="434"/>
    </row>
    <row r="123" spans="1:16" s="436" customFormat="1" ht="15" customHeight="1">
      <c r="A123" s="434"/>
      <c r="B123" s="434"/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5"/>
      <c r="P123" s="434"/>
    </row>
    <row r="124" spans="1:16" s="436" customFormat="1" ht="15" customHeight="1">
      <c r="A124" s="434"/>
      <c r="B124" s="434"/>
      <c r="C124" s="434"/>
      <c r="D124" s="434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5"/>
      <c r="P124" s="434"/>
    </row>
    <row r="125" spans="1:16" s="436" customFormat="1" ht="15" customHeight="1">
      <c r="A125" s="434"/>
      <c r="B125" s="434"/>
      <c r="C125" s="434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5"/>
      <c r="P125" s="434"/>
    </row>
    <row r="126" spans="1:16" s="436" customFormat="1" ht="15" customHeight="1">
      <c r="A126" s="434"/>
      <c r="B126" s="434"/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5"/>
      <c r="P126" s="434"/>
    </row>
    <row r="127" spans="1:16" s="436" customFormat="1" ht="15" customHeight="1">
      <c r="A127" s="434"/>
      <c r="B127" s="434"/>
      <c r="C127" s="434"/>
      <c r="D127" s="434"/>
      <c r="E127" s="434"/>
      <c r="F127" s="434"/>
      <c r="G127" s="434"/>
      <c r="H127" s="434"/>
      <c r="I127" s="434"/>
      <c r="J127" s="434"/>
      <c r="K127" s="434"/>
      <c r="L127" s="434"/>
      <c r="M127" s="434"/>
      <c r="N127" s="434"/>
      <c r="O127" s="435"/>
      <c r="P127" s="434"/>
    </row>
    <row r="128" spans="1:16" s="436" customFormat="1" ht="15" customHeight="1">
      <c r="A128" s="263"/>
      <c r="B128" s="434"/>
      <c r="C128" s="434"/>
      <c r="D128" s="434"/>
      <c r="E128" s="434"/>
      <c r="F128" s="434"/>
      <c r="G128" s="434"/>
      <c r="H128" s="434"/>
      <c r="I128" s="434"/>
      <c r="J128" s="434"/>
      <c r="K128" s="434"/>
      <c r="L128" s="434"/>
      <c r="M128" s="434"/>
      <c r="N128" s="434"/>
      <c r="O128" s="435"/>
      <c r="P128" s="434"/>
    </row>
  </sheetData>
  <sheetProtection/>
  <mergeCells count="153">
    <mergeCell ref="B15:C15"/>
    <mergeCell ref="B16:C16"/>
    <mergeCell ref="B17:C17"/>
    <mergeCell ref="B97:P97"/>
    <mergeCell ref="B96:G96"/>
    <mergeCell ref="B90:G90"/>
    <mergeCell ref="B91:G91"/>
    <mergeCell ref="B92:G92"/>
    <mergeCell ref="B93:G93"/>
    <mergeCell ref="B94:G94"/>
    <mergeCell ref="B95:G95"/>
    <mergeCell ref="H95:J95"/>
    <mergeCell ref="K95:M95"/>
    <mergeCell ref="N95:P95"/>
    <mergeCell ref="H96:J96"/>
    <mergeCell ref="K96:M96"/>
    <mergeCell ref="N96:P96"/>
    <mergeCell ref="H93:J93"/>
    <mergeCell ref="K93:M93"/>
    <mergeCell ref="N93:P93"/>
    <mergeCell ref="H94:J94"/>
    <mergeCell ref="K94:M94"/>
    <mergeCell ref="N94:P94"/>
    <mergeCell ref="K91:M91"/>
    <mergeCell ref="N91:P91"/>
    <mergeCell ref="H92:J92"/>
    <mergeCell ref="K92:M92"/>
    <mergeCell ref="N92:P92"/>
    <mergeCell ref="H91:J91"/>
    <mergeCell ref="B99:P99"/>
    <mergeCell ref="B100:P100"/>
    <mergeCell ref="D11:P11"/>
    <mergeCell ref="B23:C23"/>
    <mergeCell ref="B24:C24"/>
    <mergeCell ref="B25:C25"/>
    <mergeCell ref="B26:C26"/>
    <mergeCell ref="B27:C27"/>
    <mergeCell ref="B28:C28"/>
    <mergeCell ref="D23:P23"/>
    <mergeCell ref="K90:M90"/>
    <mergeCell ref="B82:P82"/>
    <mergeCell ref="B89:E89"/>
    <mergeCell ref="N89:P89"/>
    <mergeCell ref="N90:P90"/>
    <mergeCell ref="A87:P87"/>
    <mergeCell ref="B88:P88"/>
    <mergeCell ref="A88:A89"/>
    <mergeCell ref="H90:J90"/>
    <mergeCell ref="A74:A75"/>
    <mergeCell ref="B74:P74"/>
    <mergeCell ref="B75:P75"/>
    <mergeCell ref="B76:P76"/>
    <mergeCell ref="B77:P77"/>
    <mergeCell ref="B79:P79"/>
    <mergeCell ref="D9:P9"/>
    <mergeCell ref="B72:P72"/>
    <mergeCell ref="B69:P69"/>
    <mergeCell ref="B71:P71"/>
    <mergeCell ref="D42:P42"/>
    <mergeCell ref="D37:P37"/>
    <mergeCell ref="D38:P38"/>
    <mergeCell ref="B29:C29"/>
    <mergeCell ref="B13:C13"/>
    <mergeCell ref="B14:C14"/>
    <mergeCell ref="B30:C30"/>
    <mergeCell ref="B44:C44"/>
    <mergeCell ref="B45:C45"/>
    <mergeCell ref="B48:C48"/>
    <mergeCell ref="B31:C31"/>
    <mergeCell ref="B32:C32"/>
    <mergeCell ref="B33:C33"/>
    <mergeCell ref="B35:C35"/>
    <mergeCell ref="B36:C36"/>
    <mergeCell ref="B37:C37"/>
    <mergeCell ref="A50:A52"/>
    <mergeCell ref="B50:B52"/>
    <mergeCell ref="B9:C10"/>
    <mergeCell ref="B11:C11"/>
    <mergeCell ref="B12:C12"/>
    <mergeCell ref="B18:C18"/>
    <mergeCell ref="B38:C38"/>
    <mergeCell ref="B49:C49"/>
    <mergeCell ref="B42:C42"/>
    <mergeCell ref="B43:C43"/>
    <mergeCell ref="A1:E1"/>
    <mergeCell ref="A2:E2"/>
    <mergeCell ref="A9:A10"/>
    <mergeCell ref="D10:P10"/>
    <mergeCell ref="B34:C34"/>
    <mergeCell ref="D46:P46"/>
    <mergeCell ref="B19:C19"/>
    <mergeCell ref="B20:C20"/>
    <mergeCell ref="B21:C21"/>
    <mergeCell ref="B22:C22"/>
    <mergeCell ref="A8:P8"/>
    <mergeCell ref="D18:P18"/>
    <mergeCell ref="D19:P19"/>
    <mergeCell ref="D22:P22"/>
    <mergeCell ref="D31:P31"/>
    <mergeCell ref="D35:P35"/>
    <mergeCell ref="D12:P12"/>
    <mergeCell ref="D13:P13"/>
    <mergeCell ref="D14:P14"/>
    <mergeCell ref="D15:P15"/>
    <mergeCell ref="D47:P47"/>
    <mergeCell ref="D16:P16"/>
    <mergeCell ref="D17:P17"/>
    <mergeCell ref="D30:P30"/>
    <mergeCell ref="D32:P32"/>
    <mergeCell ref="D33:P33"/>
    <mergeCell ref="D36:P36"/>
    <mergeCell ref="D24:P24"/>
    <mergeCell ref="D25:P25"/>
    <mergeCell ref="D26:P26"/>
    <mergeCell ref="D44:P44"/>
    <mergeCell ref="D45:P45"/>
    <mergeCell ref="D29:P29"/>
    <mergeCell ref="D21:P21"/>
    <mergeCell ref="D20:P20"/>
    <mergeCell ref="D34:P34"/>
    <mergeCell ref="D43:P43"/>
    <mergeCell ref="D28:P28"/>
    <mergeCell ref="D27:P27"/>
    <mergeCell ref="D48:P48"/>
    <mergeCell ref="D49:P49"/>
    <mergeCell ref="B39:C39"/>
    <mergeCell ref="B40:C40"/>
    <mergeCell ref="B41:C41"/>
    <mergeCell ref="D39:P39"/>
    <mergeCell ref="D40:P40"/>
    <mergeCell ref="D41:P41"/>
    <mergeCell ref="B46:C46"/>
    <mergeCell ref="B47:C47"/>
    <mergeCell ref="B113:P113"/>
    <mergeCell ref="B114:P114"/>
    <mergeCell ref="B115:P115"/>
    <mergeCell ref="B101:P101"/>
    <mergeCell ref="B102:P102"/>
    <mergeCell ref="B107:P107"/>
    <mergeCell ref="B109:P109"/>
    <mergeCell ref="B111:P111"/>
    <mergeCell ref="B112:P112"/>
    <mergeCell ref="B105:P105"/>
    <mergeCell ref="B104:P104"/>
    <mergeCell ref="B106:P106"/>
    <mergeCell ref="C50:P50"/>
    <mergeCell ref="C51:C52"/>
    <mergeCell ref="D51:D52"/>
    <mergeCell ref="E51:E52"/>
    <mergeCell ref="N51:N52"/>
    <mergeCell ref="O51:P51"/>
    <mergeCell ref="B81:P81"/>
    <mergeCell ref="B103:P103"/>
  </mergeCells>
  <printOptions horizontalCentered="1"/>
  <pageMargins left="0.1968503937007874" right="0.2755905511811024" top="0.7874015748031497" bottom="0.3937007874015748" header="0.5118110236220472" footer="0.5118110236220472"/>
  <pageSetup horizontalDpi="600" verticalDpi="600" orientation="landscape" paperSize="9" scale="58" r:id="rId4"/>
  <headerFooter scaleWithDoc="0">
    <oddFooter>&amp;L&amp;8Publicação: Diário Oficial do Município nº 58
Data: 24.03.2021&amp;R&amp;8&amp;P / &amp;N</oddFooter>
  </headerFooter>
  <rowBreaks count="2" manualBreakCount="2">
    <brk id="49" max="15" man="1"/>
    <brk id="85" max="1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7.8515625" defaultRowHeight="12.75"/>
  <cols>
    <col min="1" max="1" width="25.00390625" style="42" customWidth="1"/>
    <col min="2" max="4" width="17.28125" style="42" customWidth="1"/>
    <col min="5" max="5" width="17.28125" style="43" customWidth="1"/>
    <col min="6" max="7" width="17.28125" style="42" customWidth="1"/>
    <col min="8" max="16384" width="7.8515625" style="42" customWidth="1"/>
  </cols>
  <sheetData>
    <row r="1" spans="1:7" ht="11.25">
      <c r="A1" s="1738" t="s">
        <v>172</v>
      </c>
      <c r="B1" s="1738"/>
      <c r="C1" s="1738"/>
      <c r="D1" s="1738"/>
      <c r="E1" s="1738"/>
      <c r="F1" s="1738"/>
      <c r="G1" s="30" t="s">
        <v>173</v>
      </c>
    </row>
    <row r="2" spans="1:7" ht="11.25">
      <c r="A2" s="1738" t="s">
        <v>0</v>
      </c>
      <c r="B2" s="1738"/>
      <c r="C2" s="1738"/>
      <c r="D2" s="1738"/>
      <c r="E2" s="1738"/>
      <c r="F2" s="1738"/>
      <c r="G2" s="1738"/>
    </row>
    <row r="3" spans="1:7" ht="11.25">
      <c r="A3" s="1740" t="s">
        <v>174</v>
      </c>
      <c r="B3" s="1740"/>
      <c r="C3" s="1740"/>
      <c r="D3" s="1740"/>
      <c r="E3" s="1740"/>
      <c r="F3" s="1740"/>
      <c r="G3" s="1740"/>
    </row>
    <row r="4" spans="1:7" ht="11.25">
      <c r="A4" s="1738" t="s">
        <v>144</v>
      </c>
      <c r="B4" s="1738"/>
      <c r="C4" s="1738"/>
      <c r="D4" s="1738"/>
      <c r="E4" s="1738"/>
      <c r="F4" s="1738"/>
      <c r="G4" s="1738"/>
    </row>
    <row r="5" spans="1:7" ht="11.25">
      <c r="A5" s="1738" t="s">
        <v>175</v>
      </c>
      <c r="B5" s="1738"/>
      <c r="C5" s="1738"/>
      <c r="D5" s="1738"/>
      <c r="E5" s="1738"/>
      <c r="F5" s="1738"/>
      <c r="G5" s="1738"/>
    </row>
    <row r="6" spans="1:7" ht="11.25">
      <c r="A6" s="36"/>
      <c r="B6" s="36"/>
      <c r="C6" s="36"/>
      <c r="D6" s="36"/>
      <c r="E6" s="36"/>
      <c r="F6" s="36"/>
      <c r="G6" s="36"/>
    </row>
    <row r="8" ht="12.75" customHeight="1">
      <c r="A8" s="42" t="s">
        <v>176</v>
      </c>
    </row>
    <row r="9" spans="1:7" s="46" customFormat="1" ht="36" customHeight="1">
      <c r="A9" s="1739" t="s">
        <v>177</v>
      </c>
      <c r="B9" s="44" t="s">
        <v>178</v>
      </c>
      <c r="C9" s="44" t="s">
        <v>179</v>
      </c>
      <c r="D9" s="44" t="s">
        <v>180</v>
      </c>
      <c r="E9" s="44" t="s">
        <v>181</v>
      </c>
      <c r="F9" s="44" t="s">
        <v>182</v>
      </c>
      <c r="G9" s="45" t="s">
        <v>183</v>
      </c>
    </row>
    <row r="10" spans="1:7" ht="11.25" customHeight="1">
      <c r="A10" s="1739"/>
      <c r="B10" s="47" t="s">
        <v>61</v>
      </c>
      <c r="C10" s="47" t="s">
        <v>61</v>
      </c>
      <c r="D10" s="47" t="s">
        <v>61</v>
      </c>
      <c r="E10" s="47" t="s">
        <v>61</v>
      </c>
      <c r="F10" s="47" t="s">
        <v>61</v>
      </c>
      <c r="G10" s="48" t="s">
        <v>61</v>
      </c>
    </row>
    <row r="11" spans="1:7" ht="12.75" customHeight="1">
      <c r="A11" s="49"/>
      <c r="B11" s="50"/>
      <c r="C11" s="50"/>
      <c r="D11" s="50"/>
      <c r="E11" s="50"/>
      <c r="F11" s="50"/>
      <c r="G11" s="51"/>
    </row>
    <row r="12" spans="1:7" ht="12.75" customHeight="1">
      <c r="A12" s="49"/>
      <c r="B12" s="50"/>
      <c r="C12" s="50"/>
      <c r="D12" s="50"/>
      <c r="E12" s="50"/>
      <c r="F12" s="50"/>
      <c r="G12" s="51"/>
    </row>
    <row r="13" spans="1:7" ht="12.75" customHeight="1">
      <c r="A13" s="49"/>
      <c r="B13" s="50"/>
      <c r="C13" s="50"/>
      <c r="D13" s="50"/>
      <c r="E13" s="50"/>
      <c r="F13" s="50"/>
      <c r="G13" s="51"/>
    </row>
    <row r="14" spans="1:7" ht="12.75" customHeight="1">
      <c r="A14" s="49"/>
      <c r="B14" s="50"/>
      <c r="C14" s="50"/>
      <c r="D14" s="50"/>
      <c r="E14" s="50"/>
      <c r="F14" s="50"/>
      <c r="G14" s="51"/>
    </row>
    <row r="15" spans="1:7" ht="12.75" customHeight="1">
      <c r="A15" s="49"/>
      <c r="B15" s="50"/>
      <c r="C15" s="50"/>
      <c r="D15" s="50"/>
      <c r="E15" s="50"/>
      <c r="F15" s="50"/>
      <c r="G15" s="51"/>
    </row>
    <row r="16" spans="1:7" ht="12.75" customHeight="1">
      <c r="A16" s="49"/>
      <c r="B16" s="50"/>
      <c r="C16" s="50"/>
      <c r="D16" s="50"/>
      <c r="E16" s="50"/>
      <c r="F16" s="50"/>
      <c r="G16" s="51"/>
    </row>
    <row r="17" spans="1:7" ht="12.75" customHeight="1">
      <c r="A17" s="49"/>
      <c r="B17" s="50"/>
      <c r="C17" s="50"/>
      <c r="D17" s="50"/>
      <c r="E17" s="50"/>
      <c r="F17" s="50"/>
      <c r="G17" s="51"/>
    </row>
    <row r="18" spans="1:7" ht="12.75" customHeight="1">
      <c r="A18" s="49"/>
      <c r="B18" s="50"/>
      <c r="C18" s="50"/>
      <c r="D18" s="50"/>
      <c r="E18" s="50"/>
      <c r="F18" s="50"/>
      <c r="G18" s="51"/>
    </row>
    <row r="19" spans="1:7" ht="12.75" customHeight="1">
      <c r="A19" s="49"/>
      <c r="B19" s="50"/>
      <c r="C19" s="50"/>
      <c r="D19" s="50"/>
      <c r="E19" s="50"/>
      <c r="F19" s="50"/>
      <c r="G19" s="51"/>
    </row>
    <row r="20" spans="1:7" ht="12.75" customHeight="1">
      <c r="A20" s="49"/>
      <c r="B20" s="50"/>
      <c r="C20" s="50"/>
      <c r="D20" s="50"/>
      <c r="E20" s="50"/>
      <c r="F20" s="50"/>
      <c r="G20" s="51"/>
    </row>
    <row r="21" spans="1:7" ht="12.75" customHeight="1">
      <c r="A21" s="49"/>
      <c r="B21" s="50"/>
      <c r="C21" s="50"/>
      <c r="D21" s="50"/>
      <c r="E21" s="50"/>
      <c r="F21" s="50"/>
      <c r="G21" s="51"/>
    </row>
    <row r="22" spans="1:7" ht="12.75" customHeight="1">
      <c r="A22" s="49"/>
      <c r="B22" s="50"/>
      <c r="C22" s="50"/>
      <c r="D22" s="50"/>
      <c r="E22" s="50"/>
      <c r="F22" s="50"/>
      <c r="G22" s="51"/>
    </row>
    <row r="23" spans="1:7" ht="12.75" customHeight="1">
      <c r="A23" s="49"/>
      <c r="B23" s="50"/>
      <c r="C23" s="50"/>
      <c r="D23" s="50"/>
      <c r="E23" s="50"/>
      <c r="F23" s="50"/>
      <c r="G23" s="51"/>
    </row>
    <row r="24" spans="1:7" ht="12.75" customHeight="1">
      <c r="A24" s="49"/>
      <c r="B24" s="50"/>
      <c r="C24" s="50"/>
      <c r="D24" s="50"/>
      <c r="E24" s="50"/>
      <c r="F24" s="50"/>
      <c r="G24" s="51"/>
    </row>
    <row r="25" spans="1:7" ht="12.75" customHeight="1">
      <c r="A25" s="49"/>
      <c r="B25" s="50"/>
      <c r="C25" s="50"/>
      <c r="D25" s="50"/>
      <c r="E25" s="50"/>
      <c r="F25" s="50"/>
      <c r="G25" s="51"/>
    </row>
    <row r="26" spans="1:7" ht="12.75" customHeight="1">
      <c r="A26" s="49"/>
      <c r="B26" s="50"/>
      <c r="C26" s="50"/>
      <c r="D26" s="50"/>
      <c r="E26" s="50"/>
      <c r="F26" s="50"/>
      <c r="G26" s="51"/>
    </row>
    <row r="27" spans="1:7" ht="12.75" customHeight="1">
      <c r="A27" s="49"/>
      <c r="B27" s="50"/>
      <c r="C27" s="50"/>
      <c r="D27" s="50"/>
      <c r="E27" s="50"/>
      <c r="F27" s="50"/>
      <c r="G27" s="51"/>
    </row>
    <row r="28" spans="1:7" ht="12.75" customHeight="1">
      <c r="A28" s="49"/>
      <c r="B28" s="50"/>
      <c r="C28" s="50"/>
      <c r="D28" s="50"/>
      <c r="E28" s="50"/>
      <c r="F28" s="50"/>
      <c r="G28" s="51"/>
    </row>
    <row r="29" spans="1:7" ht="12.75" customHeight="1">
      <c r="A29" s="49"/>
      <c r="B29" s="50"/>
      <c r="C29" s="50"/>
      <c r="D29" s="50"/>
      <c r="E29" s="50"/>
      <c r="F29" s="50"/>
      <c r="G29" s="51"/>
    </row>
    <row r="30" spans="1:7" ht="12.75" customHeight="1">
      <c r="A30" s="49"/>
      <c r="B30" s="50"/>
      <c r="C30" s="50"/>
      <c r="D30" s="50"/>
      <c r="E30" s="50"/>
      <c r="F30" s="50"/>
      <c r="G30" s="51"/>
    </row>
    <row r="31" spans="1:7" ht="12.75" customHeight="1">
      <c r="A31" s="49"/>
      <c r="B31" s="50"/>
      <c r="C31" s="50"/>
      <c r="D31" s="50"/>
      <c r="E31" s="50"/>
      <c r="F31" s="50"/>
      <c r="G31" s="51"/>
    </row>
    <row r="32" spans="1:7" ht="12.75" customHeight="1">
      <c r="A32" s="49"/>
      <c r="B32" s="50"/>
      <c r="C32" s="50"/>
      <c r="D32" s="50"/>
      <c r="E32" s="50"/>
      <c r="F32" s="50"/>
      <c r="G32" s="51"/>
    </row>
    <row r="33" spans="1:7" ht="12.75" customHeight="1">
      <c r="A33" s="49"/>
      <c r="B33" s="50"/>
      <c r="C33" s="50"/>
      <c r="D33" s="50"/>
      <c r="E33" s="50"/>
      <c r="F33" s="50"/>
      <c r="G33" s="51"/>
    </row>
    <row r="34" spans="1:7" ht="12.75" customHeight="1">
      <c r="A34" s="52"/>
      <c r="B34" s="53"/>
      <c r="C34" s="53"/>
      <c r="D34" s="53"/>
      <c r="E34" s="53"/>
      <c r="F34" s="53"/>
      <c r="G34" s="54"/>
    </row>
    <row r="35" spans="1:7" ht="11.25">
      <c r="A35" s="42" t="s">
        <v>184</v>
      </c>
      <c r="G35" s="30"/>
    </row>
  </sheetData>
  <sheetProtection/>
  <mergeCells count="6">
    <mergeCell ref="A5:G5"/>
    <mergeCell ref="A9:A10"/>
    <mergeCell ref="A1:F1"/>
    <mergeCell ref="A2:G2"/>
    <mergeCell ref="A3:G3"/>
    <mergeCell ref="A4:G4"/>
  </mergeCells>
  <printOptions horizontalCentered="1"/>
  <pageMargins left="0.3298611111111111" right="0.3402777777777778" top="0.5902777777777778" bottom="0.39305555555555555" header="0.5118055555555556" footer="0.19652777777777777"/>
  <pageSetup horizontalDpi="300" verticalDpi="300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N32"/>
  <sheetViews>
    <sheetView showGridLines="0" view="pageBreakPreview" zoomScale="110" zoomScaleSheetLayoutView="110" zoomScalePageLayoutView="0" workbookViewId="0" topLeftCell="A1">
      <selection activeCell="E20" sqref="E20"/>
    </sheetView>
  </sheetViews>
  <sheetFormatPr defaultColWidth="8.8515625" defaultRowHeight="12.75"/>
  <cols>
    <col min="1" max="1" width="60.00390625" style="351" customWidth="1"/>
    <col min="2" max="2" width="16.57421875" style="250" customWidth="1"/>
    <col min="3" max="3" width="17.00390625" style="250" bestFit="1" customWidth="1"/>
    <col min="4" max="4" width="17.421875" style="250" customWidth="1"/>
    <col min="5" max="5" width="14.7109375" style="250" customWidth="1"/>
    <col min="6" max="6" width="17.140625" style="250" customWidth="1"/>
    <col min="7" max="7" width="16.00390625" style="250" customWidth="1"/>
    <col min="8" max="8" width="16.7109375" style="250" customWidth="1"/>
    <col min="9" max="9" width="16.8515625" style="250" customWidth="1"/>
    <col min="10" max="10" width="15.8515625" style="250" customWidth="1"/>
    <col min="11" max="11" width="14.8515625" style="250" customWidth="1"/>
    <col min="12" max="12" width="16.00390625" style="250" customWidth="1"/>
    <col min="13" max="13" width="17.00390625" style="351" customWidth="1"/>
    <col min="14" max="14" width="20.140625" style="250" customWidth="1"/>
    <col min="15" max="15" width="20.57421875" style="250" customWidth="1"/>
    <col min="16" max="16384" width="8.8515625" style="250" customWidth="1"/>
  </cols>
  <sheetData>
    <row r="1" spans="1:12" ht="18.75" customHeight="1">
      <c r="A1" s="1741" t="s">
        <v>162</v>
      </c>
      <c r="B1" s="1741"/>
      <c r="C1" s="1741"/>
      <c r="D1" s="1741"/>
      <c r="E1" s="1741"/>
      <c r="F1" s="1742"/>
      <c r="G1" s="1742"/>
      <c r="H1" s="1742"/>
      <c r="I1" s="1742"/>
      <c r="J1" s="1742"/>
      <c r="K1" s="1742"/>
      <c r="L1" s="441"/>
    </row>
    <row r="2" spans="1:12" ht="18.75" customHeight="1">
      <c r="A2" s="1741" t="s">
        <v>0</v>
      </c>
      <c r="B2" s="1741"/>
      <c r="C2" s="1741"/>
      <c r="D2" s="1741"/>
      <c r="E2" s="1741"/>
      <c r="F2" s="1741"/>
      <c r="G2" s="1741"/>
      <c r="H2" s="1741"/>
      <c r="I2" s="1741"/>
      <c r="J2" s="1741"/>
      <c r="K2" s="1741"/>
      <c r="L2" s="441"/>
    </row>
    <row r="3" spans="1:12" ht="18.75" customHeight="1">
      <c r="A3" s="440" t="s">
        <v>185</v>
      </c>
      <c r="B3" s="442"/>
      <c r="C3" s="442"/>
      <c r="D3" s="442"/>
      <c r="E3" s="442"/>
      <c r="F3" s="442"/>
      <c r="G3" s="442"/>
      <c r="H3" s="442"/>
      <c r="I3" s="442"/>
      <c r="J3" s="443"/>
      <c r="K3" s="444"/>
      <c r="L3" s="441"/>
    </row>
    <row r="4" spans="1:12" ht="18.75" customHeight="1">
      <c r="A4" s="440" t="s">
        <v>1</v>
      </c>
      <c r="B4" s="445"/>
      <c r="C4" s="445"/>
      <c r="D4" s="445"/>
      <c r="E4" s="445"/>
      <c r="F4" s="445"/>
      <c r="G4" s="445"/>
      <c r="H4" s="445"/>
      <c r="I4" s="443"/>
      <c r="J4" s="441"/>
      <c r="K4" s="441"/>
      <c r="L4" s="441"/>
    </row>
    <row r="5" spans="1:12" ht="18.75" customHeight="1">
      <c r="A5" s="1743" t="str">
        <f>'Anexo 6 _ RES PRIM e NOM'!A5</f>
        <v>            Referência: JANEIRO-FEVEREIRO/2021; BIMESTRE: JANEIRO-FEVEREIRO/2021</v>
      </c>
      <c r="B5" s="1743"/>
      <c r="C5" s="1743"/>
      <c r="D5" s="1743"/>
      <c r="E5" s="1743"/>
      <c r="F5" s="1743"/>
      <c r="G5" s="446"/>
      <c r="H5" s="447"/>
      <c r="I5" s="448"/>
      <c r="J5" s="448"/>
      <c r="K5" s="449"/>
      <c r="L5" s="450"/>
    </row>
    <row r="6" spans="1:12" ht="17.25" customHeight="1">
      <c r="A6" s="451"/>
      <c r="B6" s="452"/>
      <c r="C6" s="453"/>
      <c r="D6" s="454"/>
      <c r="E6" s="455"/>
      <c r="F6" s="456"/>
      <c r="G6" s="456"/>
      <c r="H6" s="457"/>
      <c r="I6" s="449"/>
      <c r="J6" s="457"/>
      <c r="K6" s="449"/>
      <c r="L6" s="458"/>
    </row>
    <row r="7" spans="1:12" ht="13.5" customHeight="1">
      <c r="A7" s="459" t="s">
        <v>245</v>
      </c>
      <c r="B7" s="460"/>
      <c r="C7" s="453"/>
      <c r="D7" s="454"/>
      <c r="E7" s="455"/>
      <c r="F7" s="456"/>
      <c r="G7" s="456"/>
      <c r="H7" s="454"/>
      <c r="I7" s="449"/>
      <c r="J7" s="449"/>
      <c r="K7" s="982"/>
      <c r="L7" s="458"/>
    </row>
    <row r="8" spans="1:13" ht="19.5" customHeight="1">
      <c r="A8" s="1744" t="s">
        <v>186</v>
      </c>
      <c r="B8" s="1745" t="s">
        <v>208</v>
      </c>
      <c r="C8" s="1745"/>
      <c r="D8" s="1745"/>
      <c r="E8" s="1745"/>
      <c r="F8" s="1745"/>
      <c r="G8" s="1746" t="s">
        <v>228</v>
      </c>
      <c r="H8" s="1747"/>
      <c r="I8" s="1747"/>
      <c r="J8" s="1747"/>
      <c r="K8" s="1747"/>
      <c r="L8" s="1748"/>
      <c r="M8" s="1751" t="s">
        <v>425</v>
      </c>
    </row>
    <row r="9" spans="1:13" ht="19.5" customHeight="1" thickBot="1">
      <c r="A9" s="1744"/>
      <c r="B9" s="1758" t="s">
        <v>187</v>
      </c>
      <c r="C9" s="1758"/>
      <c r="D9" s="1749" t="s">
        <v>334</v>
      </c>
      <c r="E9" s="1749" t="s">
        <v>335</v>
      </c>
      <c r="F9" s="1749" t="s">
        <v>336</v>
      </c>
      <c r="G9" s="1756" t="s">
        <v>187</v>
      </c>
      <c r="H9" s="1757"/>
      <c r="I9" s="1749" t="s">
        <v>338</v>
      </c>
      <c r="J9" s="1749" t="s">
        <v>339</v>
      </c>
      <c r="K9" s="1749" t="s">
        <v>340</v>
      </c>
      <c r="L9" s="1749" t="s">
        <v>341</v>
      </c>
      <c r="M9" s="1752"/>
    </row>
    <row r="10" spans="1:13" ht="41.25" customHeight="1">
      <c r="A10" s="1744"/>
      <c r="B10" s="1220" t="s">
        <v>333</v>
      </c>
      <c r="C10" s="1221" t="s">
        <v>547</v>
      </c>
      <c r="D10" s="1750"/>
      <c r="E10" s="1750"/>
      <c r="F10" s="1750"/>
      <c r="G10" s="1220" t="s">
        <v>337</v>
      </c>
      <c r="H10" s="1221" t="s">
        <v>548</v>
      </c>
      <c r="I10" s="1750"/>
      <c r="J10" s="1750"/>
      <c r="K10" s="1750"/>
      <c r="L10" s="1750"/>
      <c r="M10" s="1753"/>
    </row>
    <row r="11" spans="1:13" s="343" customFormat="1" ht="19.5" customHeight="1">
      <c r="A11" s="1225" t="s">
        <v>761</v>
      </c>
      <c r="B11" s="462">
        <f>B12+B13</f>
        <v>216075274.8</v>
      </c>
      <c r="C11" s="462">
        <f aca="true" t="shared" si="0" ref="C11:M11">C12+C13</f>
        <v>105688659.39</v>
      </c>
      <c r="D11" s="462">
        <f t="shared" si="0"/>
        <v>37442746.25</v>
      </c>
      <c r="E11" s="462">
        <f t="shared" si="0"/>
        <v>178763.67</v>
      </c>
      <c r="F11" s="462">
        <f t="shared" si="0"/>
        <v>284142424.27</v>
      </c>
      <c r="G11" s="1247">
        <f t="shared" si="0"/>
        <v>94418804.51</v>
      </c>
      <c r="H11" s="462">
        <f t="shared" si="0"/>
        <v>248974524.19</v>
      </c>
      <c r="I11" s="462">
        <f t="shared" si="0"/>
        <v>30383706.76</v>
      </c>
      <c r="J11" s="462">
        <f t="shared" si="0"/>
        <v>19326024.57</v>
      </c>
      <c r="K11" s="462">
        <f t="shared" si="0"/>
        <v>4366660.68</v>
      </c>
      <c r="L11" s="1247">
        <f t="shared" si="0"/>
        <v>319700643.45</v>
      </c>
      <c r="M11" s="462">
        <f t="shared" si="0"/>
        <v>603843067.72</v>
      </c>
    </row>
    <row r="12" spans="1:13" ht="19.5" customHeight="1">
      <c r="A12" s="1222" t="s">
        <v>757</v>
      </c>
      <c r="B12" s="463">
        <f>200979883.84+15381101-285710.04</f>
        <v>216075274.8</v>
      </c>
      <c r="C12" s="464">
        <v>105688659.39</v>
      </c>
      <c r="D12" s="461">
        <v>37442746.25</v>
      </c>
      <c r="E12" s="461">
        <v>178763.67</v>
      </c>
      <c r="F12" s="463">
        <f>B12+C12-D12-E12</f>
        <v>284142424.27</v>
      </c>
      <c r="G12" s="917">
        <f>109799905.51-15381101</f>
        <v>94418804.51</v>
      </c>
      <c r="H12" s="917">
        <f>250707234.92-H16</f>
        <v>248974524.19</v>
      </c>
      <c r="I12" s="461">
        <v>30383706.76</v>
      </c>
      <c r="J12" s="461">
        <v>19326024.57</v>
      </c>
      <c r="K12" s="461">
        <v>4366660.68</v>
      </c>
      <c r="L12" s="1248">
        <f>G12+H12-J12-K12</f>
        <v>319700643.45</v>
      </c>
      <c r="M12" s="891">
        <f>L12+F12</f>
        <v>603843067.72</v>
      </c>
    </row>
    <row r="13" spans="1:14" ht="19.5" customHeight="1">
      <c r="A13" s="1223" t="s">
        <v>758</v>
      </c>
      <c r="B13" s="463">
        <f>B14+B15</f>
        <v>0</v>
      </c>
      <c r="C13" s="463">
        <f aca="true" t="shared" si="1" ref="C13:M13">C14+C15</f>
        <v>0</v>
      </c>
      <c r="D13" s="463">
        <f t="shared" si="1"/>
        <v>0</v>
      </c>
      <c r="E13" s="463">
        <f t="shared" si="1"/>
        <v>0</v>
      </c>
      <c r="F13" s="463">
        <f t="shared" si="1"/>
        <v>0</v>
      </c>
      <c r="G13" s="463">
        <f t="shared" si="1"/>
        <v>0</v>
      </c>
      <c r="H13" s="463">
        <f t="shared" si="1"/>
        <v>0</v>
      </c>
      <c r="I13" s="463">
        <f t="shared" si="1"/>
        <v>0</v>
      </c>
      <c r="J13" s="463">
        <f t="shared" si="1"/>
        <v>0</v>
      </c>
      <c r="K13" s="463">
        <f t="shared" si="1"/>
        <v>0</v>
      </c>
      <c r="L13" s="1249">
        <f t="shared" si="1"/>
        <v>0</v>
      </c>
      <c r="M13" s="463">
        <f t="shared" si="1"/>
        <v>0</v>
      </c>
      <c r="N13" s="379"/>
    </row>
    <row r="14" spans="1:14" ht="19.5" customHeight="1">
      <c r="A14" s="1224" t="s">
        <v>759</v>
      </c>
      <c r="B14" s="463"/>
      <c r="C14" s="466"/>
      <c r="D14" s="466"/>
      <c r="E14" s="466"/>
      <c r="F14" s="467"/>
      <c r="G14" s="467"/>
      <c r="H14" s="918"/>
      <c r="I14" s="915"/>
      <c r="J14" s="915"/>
      <c r="K14" s="915"/>
      <c r="L14" s="1250"/>
      <c r="M14" s="892"/>
      <c r="N14" s="355"/>
    </row>
    <row r="15" spans="1:13" ht="19.5" customHeight="1">
      <c r="A15" s="1224" t="s">
        <v>760</v>
      </c>
      <c r="B15" s="463"/>
      <c r="C15" s="466"/>
      <c r="D15" s="466"/>
      <c r="E15" s="466"/>
      <c r="F15" s="467"/>
      <c r="G15" s="467"/>
      <c r="H15" s="917"/>
      <c r="I15" s="461"/>
      <c r="J15" s="461"/>
      <c r="K15" s="461"/>
      <c r="L15" s="1251"/>
      <c r="M15" s="892"/>
    </row>
    <row r="16" spans="1:13" s="343" customFormat="1" ht="19.5" customHeight="1">
      <c r="A16" s="1226" t="s">
        <v>762</v>
      </c>
      <c r="B16" s="916">
        <v>285710.04</v>
      </c>
      <c r="C16" s="1227">
        <v>0</v>
      </c>
      <c r="D16" s="1227">
        <v>0</v>
      </c>
      <c r="E16" s="1227">
        <v>0</v>
      </c>
      <c r="F16" s="916">
        <f>B16+C16-D16-E16</f>
        <v>285710.04</v>
      </c>
      <c r="G16" s="462">
        <v>0</v>
      </c>
      <c r="H16" s="465">
        <v>1732710.73</v>
      </c>
      <c r="I16" s="462">
        <v>0</v>
      </c>
      <c r="J16" s="462">
        <v>0</v>
      </c>
      <c r="K16" s="462">
        <v>754323.25</v>
      </c>
      <c r="L16" s="1253">
        <f>G16+H16-J16-K16</f>
        <v>978387.48</v>
      </c>
      <c r="M16" s="1254">
        <f>L16+F16</f>
        <v>1264097.52</v>
      </c>
    </row>
    <row r="17" spans="1:13" s="343" customFormat="1" ht="19.5" customHeight="1">
      <c r="A17" s="1226" t="s">
        <v>763</v>
      </c>
      <c r="B17" s="916">
        <f>B11+B16</f>
        <v>216360984.84</v>
      </c>
      <c r="C17" s="916">
        <f aca="true" t="shared" si="2" ref="C17:M17">C11+C16</f>
        <v>105688659.39</v>
      </c>
      <c r="D17" s="916">
        <f t="shared" si="2"/>
        <v>37442746.25</v>
      </c>
      <c r="E17" s="916">
        <f t="shared" si="2"/>
        <v>178763.67</v>
      </c>
      <c r="F17" s="916">
        <f t="shared" si="2"/>
        <v>284428134.31</v>
      </c>
      <c r="G17" s="1252">
        <f t="shared" si="2"/>
        <v>94418804.51</v>
      </c>
      <c r="H17" s="916">
        <f t="shared" si="2"/>
        <v>250707234.92</v>
      </c>
      <c r="I17" s="916">
        <f t="shared" si="2"/>
        <v>30383706.76</v>
      </c>
      <c r="J17" s="916">
        <f t="shared" si="2"/>
        <v>19326024.57</v>
      </c>
      <c r="K17" s="916">
        <f t="shared" si="2"/>
        <v>5120983.93</v>
      </c>
      <c r="L17" s="1252">
        <f t="shared" si="2"/>
        <v>320679030.93</v>
      </c>
      <c r="M17" s="916">
        <f t="shared" si="2"/>
        <v>605107165.24</v>
      </c>
    </row>
    <row r="18" spans="1:14" ht="19.5" customHeight="1">
      <c r="A18" s="439" t="str">
        <f>'[6]Anexo VII _ RES PRIM'!A68</f>
        <v>FONTE: SECRETARIA MUNICIPAL DA FAZENDA</v>
      </c>
      <c r="B18" s="469"/>
      <c r="C18" s="470"/>
      <c r="D18" s="456"/>
      <c r="E18" s="471"/>
      <c r="F18" s="456"/>
      <c r="G18" s="472"/>
      <c r="H18" s="473"/>
      <c r="I18" s="473"/>
      <c r="J18" s="473"/>
      <c r="K18" s="474"/>
      <c r="L18" s="475"/>
      <c r="M18" s="83"/>
      <c r="N18" s="730"/>
    </row>
    <row r="19" spans="1:14" ht="19.5" customHeight="1">
      <c r="A19" s="468" t="str">
        <f>'Anexo 6 _ RES PRIM e NOM'!A117</f>
        <v>  São Luís, 24 de março de 2021</v>
      </c>
      <c r="B19" s="469"/>
      <c r="C19" s="469"/>
      <c r="D19" s="476"/>
      <c r="E19" s="477"/>
      <c r="F19" s="478"/>
      <c r="G19" s="472"/>
      <c r="H19" s="479"/>
      <c r="I19" s="480"/>
      <c r="J19" s="481"/>
      <c r="K19" s="482"/>
      <c r="L19" s="483"/>
      <c r="M19" s="484"/>
      <c r="N19" s="730"/>
    </row>
    <row r="20" spans="1:14" ht="19.5" customHeight="1">
      <c r="A20" s="485"/>
      <c r="B20" s="486"/>
      <c r="C20" s="453"/>
      <c r="D20" s="457"/>
      <c r="E20" s="457"/>
      <c r="F20" s="457"/>
      <c r="G20" s="487"/>
      <c r="H20" s="488"/>
      <c r="I20" s="457"/>
      <c r="J20" s="457"/>
      <c r="K20" s="457"/>
      <c r="L20" s="489"/>
      <c r="N20" s="730"/>
    </row>
    <row r="21" spans="1:14" ht="19.5" customHeight="1">
      <c r="A21" s="490"/>
      <c r="B21" s="1754"/>
      <c r="C21" s="1754"/>
      <c r="D21" s="1754"/>
      <c r="E21" s="1754"/>
      <c r="F21" s="490"/>
      <c r="G21" s="490"/>
      <c r="H21" s="490"/>
      <c r="I21" s="490"/>
      <c r="J21" s="490"/>
      <c r="K21" s="490"/>
      <c r="L21" s="491"/>
      <c r="N21" s="730"/>
    </row>
    <row r="22" spans="2:12" ht="12" customHeight="1">
      <c r="B22" s="1755"/>
      <c r="C22" s="1755"/>
      <c r="D22" s="1755"/>
      <c r="E22" s="1755"/>
      <c r="F22" s="351"/>
      <c r="G22" s="351"/>
      <c r="H22" s="351"/>
      <c r="I22" s="351"/>
      <c r="J22" s="351"/>
      <c r="K22" s="351"/>
      <c r="L22" s="351"/>
    </row>
    <row r="23" spans="2:12" ht="14.25"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</row>
    <row r="24" spans="2:12" ht="14.25"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</row>
    <row r="25" spans="2:12" ht="14.25">
      <c r="B25" s="351"/>
      <c r="C25" s="351"/>
      <c r="D25" s="351"/>
      <c r="E25" s="351"/>
      <c r="F25" s="492"/>
      <c r="G25" s="351"/>
      <c r="H25" s="351"/>
      <c r="I25" s="351"/>
      <c r="J25" s="351"/>
      <c r="K25" s="351"/>
      <c r="L25" s="351"/>
    </row>
    <row r="26" spans="2:12" ht="14.25"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</row>
    <row r="27" spans="2:12" ht="14.25"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</row>
    <row r="28" spans="2:12" ht="14.25"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</row>
    <row r="29" spans="2:12" ht="14.25">
      <c r="B29" s="351"/>
      <c r="C29" s="351"/>
      <c r="D29" s="351"/>
      <c r="E29" s="351"/>
      <c r="F29" s="351"/>
      <c r="G29" s="351"/>
      <c r="H29" s="351"/>
      <c r="I29" s="492"/>
      <c r="J29" s="351"/>
      <c r="K29" s="351"/>
      <c r="L29" s="351"/>
    </row>
    <row r="30" spans="2:12" ht="14.25"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</row>
    <row r="31" spans="2:12" ht="14.25"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</row>
    <row r="32" spans="2:12" ht="14.25"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</row>
  </sheetData>
  <sheetProtection/>
  <mergeCells count="19">
    <mergeCell ref="M8:M10"/>
    <mergeCell ref="I9:I10"/>
    <mergeCell ref="J9:J10"/>
    <mergeCell ref="K9:K10"/>
    <mergeCell ref="B21:E21"/>
    <mergeCell ref="B22:E22"/>
    <mergeCell ref="L9:L10"/>
    <mergeCell ref="F9:F10"/>
    <mergeCell ref="G9:H9"/>
    <mergeCell ref="B9:C9"/>
    <mergeCell ref="A1:E1"/>
    <mergeCell ref="F1:K1"/>
    <mergeCell ref="A2:K2"/>
    <mergeCell ref="A5:F5"/>
    <mergeCell ref="A8:A10"/>
    <mergeCell ref="B8:F8"/>
    <mergeCell ref="G8:L8"/>
    <mergeCell ref="D9:D10"/>
    <mergeCell ref="E9:E10"/>
  </mergeCells>
  <printOptions horizontalCentered="1"/>
  <pageMargins left="0.15748031496062992" right="0.07874015748031496" top="0.7874015748031497" bottom="0.3937007874015748" header="0.5118110236220472" footer="0.5118110236220472"/>
  <pageSetup fitToHeight="0" horizontalDpi="600" verticalDpi="600" orientation="landscape" paperSize="9" scale="57" r:id="rId2"/>
  <headerFooter scaleWithDoc="0">
    <oddFooter>&amp;L&amp;8Publicação: Diário Oficial do Município nº 58
Data: 24.03.2021&amp;R&amp;8&amp;P / &amp;N</oddFooter>
  </headerFooter>
  <ignoredErrors>
    <ignoredError sqref="H12 F1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1"/>
  <sheetViews>
    <sheetView view="pageBreakPreview" zoomScaleSheetLayoutView="100" zoomScalePageLayoutView="0" workbookViewId="0" topLeftCell="A91">
      <selection activeCell="A155" sqref="A155:B155"/>
    </sheetView>
  </sheetViews>
  <sheetFormatPr defaultColWidth="9.140625" defaultRowHeight="12.75"/>
  <cols>
    <col min="1" max="1" width="105.421875" style="1347" customWidth="1"/>
    <col min="2" max="2" width="28.57421875" style="0" customWidth="1"/>
    <col min="3" max="3" width="21.140625" style="0" customWidth="1"/>
    <col min="6" max="6" width="38.00390625" style="0" customWidth="1"/>
    <col min="9" max="9" width="26.421875" style="1347" customWidth="1"/>
    <col min="10" max="10" width="9.140625" style="1347" customWidth="1"/>
  </cols>
  <sheetData>
    <row r="1" spans="1:9" ht="15">
      <c r="A1" s="1929" t="s">
        <v>133</v>
      </c>
      <c r="B1" s="1929"/>
      <c r="C1" s="1929"/>
      <c r="D1" s="1929"/>
      <c r="E1" s="1929"/>
      <c r="F1" s="1929"/>
      <c r="G1" s="1929"/>
      <c r="H1" s="1256"/>
      <c r="I1" s="1257"/>
    </row>
    <row r="2" spans="1:9" ht="15">
      <c r="A2" s="1929" t="s">
        <v>0</v>
      </c>
      <c r="B2" s="1929"/>
      <c r="C2" s="1929"/>
      <c r="D2" s="1929"/>
      <c r="E2" s="1929"/>
      <c r="F2" s="1929"/>
      <c r="G2" s="1929"/>
      <c r="H2" s="1256"/>
      <c r="I2" s="1257"/>
    </row>
    <row r="3" spans="1:9" ht="15.75">
      <c r="A3" s="1353" t="s">
        <v>189</v>
      </c>
      <c r="B3" s="1259"/>
      <c r="C3" s="1259"/>
      <c r="D3" s="1260"/>
      <c r="E3" s="1260" t="s">
        <v>777</v>
      </c>
      <c r="F3" s="1260"/>
      <c r="G3" s="1259"/>
      <c r="H3" s="1258"/>
      <c r="I3" s="1257"/>
    </row>
    <row r="4" spans="1:9" ht="15">
      <c r="A4" s="1352" t="s">
        <v>1</v>
      </c>
      <c r="B4" s="1261"/>
      <c r="C4" s="1261"/>
      <c r="D4" s="1260"/>
      <c r="E4" s="1260"/>
      <c r="F4" s="1260"/>
      <c r="G4" s="1261"/>
      <c r="H4" s="1256"/>
      <c r="I4" s="1257"/>
    </row>
    <row r="5" spans="1:9" ht="15">
      <c r="A5" s="1930" t="str">
        <f>'Anexo 1 _ BAL ORC'!A5</f>
        <v>            Referência: JANEIRO-FEVEREIRO/2021; BIMESTRE: JANEIRO-FEVEREIRO/2021</v>
      </c>
      <c r="B5" s="1930"/>
      <c r="C5" s="1261"/>
      <c r="D5" s="1261"/>
      <c r="E5" s="1261"/>
      <c r="F5" s="1262"/>
      <c r="G5" s="1261"/>
      <c r="H5" s="1256"/>
      <c r="I5" s="1263"/>
    </row>
    <row r="6" spans="1:9" ht="15.75">
      <c r="A6" s="1931"/>
      <c r="B6" s="1931"/>
      <c r="C6" s="1931"/>
      <c r="D6" s="1931"/>
      <c r="E6" s="1931"/>
      <c r="F6" s="1931"/>
      <c r="G6" s="1931"/>
      <c r="H6" s="1264"/>
      <c r="I6" s="1257"/>
    </row>
    <row r="7" spans="1:9" ht="15">
      <c r="A7" s="1265" t="s">
        <v>246</v>
      </c>
      <c r="B7" s="1266"/>
      <c r="C7" s="1266"/>
      <c r="D7" s="1267"/>
      <c r="E7" s="1266"/>
      <c r="F7" s="1266"/>
      <c r="G7" s="1268"/>
      <c r="H7" s="1268"/>
      <c r="I7" s="1268"/>
    </row>
    <row r="8" spans="1:9" ht="24.75" customHeight="1">
      <c r="A8" s="1811" t="s">
        <v>778</v>
      </c>
      <c r="B8" s="1839"/>
      <c r="C8" s="1839"/>
      <c r="D8" s="1839"/>
      <c r="E8" s="1839"/>
      <c r="F8" s="1839"/>
      <c r="G8" s="1839"/>
      <c r="H8" s="1839"/>
      <c r="I8" s="1859"/>
    </row>
    <row r="9" spans="1:9" ht="15">
      <c r="A9" s="1811" t="s">
        <v>779</v>
      </c>
      <c r="B9" s="1839" t="s">
        <v>780</v>
      </c>
      <c r="C9" s="1839"/>
      <c r="D9" s="1932" t="s">
        <v>781</v>
      </c>
      <c r="E9" s="1932"/>
      <c r="F9" s="1932"/>
      <c r="G9" s="1932"/>
      <c r="H9" s="1932"/>
      <c r="I9" s="1832"/>
    </row>
    <row r="10" spans="1:9" ht="15">
      <c r="A10" s="1811"/>
      <c r="B10" s="1932"/>
      <c r="C10" s="1832"/>
      <c r="D10" s="1833" t="s">
        <v>63</v>
      </c>
      <c r="E10" s="1829"/>
      <c r="F10" s="1829"/>
      <c r="G10" s="1829"/>
      <c r="H10" s="1829"/>
      <c r="I10" s="1829"/>
    </row>
    <row r="11" spans="1:9" ht="15">
      <c r="A11" s="1827"/>
      <c r="B11" s="1834" t="s">
        <v>64</v>
      </c>
      <c r="C11" s="1760"/>
      <c r="D11" s="1927" t="s">
        <v>65</v>
      </c>
      <c r="E11" s="1927"/>
      <c r="F11" s="1927"/>
      <c r="G11" s="1927"/>
      <c r="H11" s="1927"/>
      <c r="I11" s="1834"/>
    </row>
    <row r="12" spans="1:9" ht="15.75">
      <c r="A12" s="1323" t="s">
        <v>342</v>
      </c>
      <c r="B12" s="1928">
        <f>B13+B14+B15+B16</f>
        <v>829342944.01</v>
      </c>
      <c r="C12" s="1928"/>
      <c r="D12" s="1890">
        <f>D13+D14+D15+D16</f>
        <v>125167654.66999999</v>
      </c>
      <c r="E12" s="1890"/>
      <c r="F12" s="1890"/>
      <c r="G12" s="1890"/>
      <c r="H12" s="1890"/>
      <c r="I12" s="1891"/>
    </row>
    <row r="13" spans="1:9" ht="15">
      <c r="A13" s="1324" t="s">
        <v>782</v>
      </c>
      <c r="B13" s="1887">
        <v>145123959.01</v>
      </c>
      <c r="C13" s="1887"/>
      <c r="D13" s="1887">
        <v>6779245.55</v>
      </c>
      <c r="E13" s="1887"/>
      <c r="F13" s="1887"/>
      <c r="G13" s="1887"/>
      <c r="H13" s="1887"/>
      <c r="I13" s="1897"/>
    </row>
    <row r="14" spans="1:9" ht="15">
      <c r="A14" s="1324" t="s">
        <v>783</v>
      </c>
      <c r="B14" s="1887">
        <v>29356119</v>
      </c>
      <c r="C14" s="1887"/>
      <c r="D14" s="1887">
        <v>5338397.89</v>
      </c>
      <c r="E14" s="1887"/>
      <c r="F14" s="1887"/>
      <c r="G14" s="1887"/>
      <c r="H14" s="1887"/>
      <c r="I14" s="1897"/>
    </row>
    <row r="15" spans="1:9" ht="15">
      <c r="A15" s="1324" t="s">
        <v>784</v>
      </c>
      <c r="B15" s="1887">
        <v>558589872</v>
      </c>
      <c r="C15" s="1887"/>
      <c r="D15" s="1887">
        <v>94384368.02</v>
      </c>
      <c r="E15" s="1887"/>
      <c r="F15" s="1887"/>
      <c r="G15" s="1887"/>
      <c r="H15" s="1887"/>
      <c r="I15" s="1897"/>
    </row>
    <row r="16" spans="1:9" ht="15">
      <c r="A16" s="1324" t="s">
        <v>785</v>
      </c>
      <c r="B16" s="1887">
        <v>96272994</v>
      </c>
      <c r="C16" s="1887"/>
      <c r="D16" s="1887">
        <v>18665643.21</v>
      </c>
      <c r="E16" s="1887"/>
      <c r="F16" s="1887"/>
      <c r="G16" s="1887"/>
      <c r="H16" s="1887"/>
      <c r="I16" s="1897"/>
    </row>
    <row r="17" spans="1:9" ht="15.75">
      <c r="A17" s="1323" t="s">
        <v>786</v>
      </c>
      <c r="B17" s="1890">
        <f>B18+SUM(B21:B26)</f>
        <v>1269435552</v>
      </c>
      <c r="C17" s="1890"/>
      <c r="D17" s="1925">
        <f>D18+SUM(D21:D26)</f>
        <v>275584381.12</v>
      </c>
      <c r="E17" s="1925"/>
      <c r="F17" s="1925"/>
      <c r="G17" s="1925"/>
      <c r="H17" s="1925"/>
      <c r="I17" s="1926"/>
    </row>
    <row r="18" spans="1:9" ht="15.75">
      <c r="A18" s="1325" t="s">
        <v>191</v>
      </c>
      <c r="B18" s="1887">
        <f>B19+B20</f>
        <v>548515073</v>
      </c>
      <c r="C18" s="1887"/>
      <c r="D18" s="1922">
        <f>D19+D20</f>
        <v>133089305.15</v>
      </c>
      <c r="E18" s="1923"/>
      <c r="F18" s="1923"/>
      <c r="G18" s="1923"/>
      <c r="H18" s="1923"/>
      <c r="I18" s="1924"/>
    </row>
    <row r="19" spans="1:9" ht="15">
      <c r="A19" s="1324" t="s">
        <v>247</v>
      </c>
      <c r="B19" s="1887">
        <f>507265201+20646288+20603584</f>
        <v>548515073</v>
      </c>
      <c r="C19" s="1887"/>
      <c r="D19" s="1920">
        <v>133089305.15</v>
      </c>
      <c r="E19" s="1920"/>
      <c r="F19" s="1920"/>
      <c r="G19" s="1920"/>
      <c r="H19" s="1920"/>
      <c r="I19" s="1921"/>
    </row>
    <row r="20" spans="1:9" ht="15">
      <c r="A20" s="1324" t="s">
        <v>787</v>
      </c>
      <c r="B20" s="1887">
        <v>0</v>
      </c>
      <c r="C20" s="1887"/>
      <c r="D20" s="1887">
        <v>0</v>
      </c>
      <c r="E20" s="1887"/>
      <c r="F20" s="1887"/>
      <c r="G20" s="1887"/>
      <c r="H20" s="1887"/>
      <c r="I20" s="1897"/>
    </row>
    <row r="21" spans="1:9" ht="15">
      <c r="A21" s="1324" t="s">
        <v>192</v>
      </c>
      <c r="B21" s="1887">
        <f>632881299</f>
        <v>632881299</v>
      </c>
      <c r="C21" s="1887"/>
      <c r="D21" s="1920">
        <v>123951913.65</v>
      </c>
      <c r="E21" s="1920"/>
      <c r="F21" s="1920"/>
      <c r="G21" s="1920"/>
      <c r="H21" s="1920"/>
      <c r="I21" s="1921"/>
    </row>
    <row r="22" spans="1:9" ht="15">
      <c r="A22" s="1324" t="s">
        <v>788</v>
      </c>
      <c r="B22" s="1887">
        <f>5866770</f>
        <v>5866770</v>
      </c>
      <c r="C22" s="1887"/>
      <c r="D22" s="1920">
        <v>1242262.27</v>
      </c>
      <c r="E22" s="1920"/>
      <c r="F22" s="1920"/>
      <c r="G22" s="1920"/>
      <c r="H22" s="1920"/>
      <c r="I22" s="1921"/>
    </row>
    <row r="23" spans="1:9" ht="15">
      <c r="A23" s="1324" t="s">
        <v>789</v>
      </c>
      <c r="B23" s="1887">
        <v>2240</v>
      </c>
      <c r="C23" s="1887"/>
      <c r="D23" s="1920">
        <v>3050.14</v>
      </c>
      <c r="E23" s="1920"/>
      <c r="F23" s="1920"/>
      <c r="G23" s="1920"/>
      <c r="H23" s="1920"/>
      <c r="I23" s="1921"/>
    </row>
    <row r="24" spans="1:9" ht="15">
      <c r="A24" s="1324" t="s">
        <v>790</v>
      </c>
      <c r="B24" s="1887">
        <f>82170170</f>
        <v>82170170</v>
      </c>
      <c r="C24" s="1887"/>
      <c r="D24" s="1920">
        <v>17297849.91</v>
      </c>
      <c r="E24" s="1920"/>
      <c r="F24" s="1920"/>
      <c r="G24" s="1920"/>
      <c r="H24" s="1920"/>
      <c r="I24" s="1921"/>
    </row>
    <row r="25" spans="1:9" ht="15">
      <c r="A25" s="1324" t="s">
        <v>791</v>
      </c>
      <c r="B25" s="1887">
        <v>0</v>
      </c>
      <c r="C25" s="1887"/>
      <c r="D25" s="1920">
        <v>0</v>
      </c>
      <c r="E25" s="1920"/>
      <c r="F25" s="1920"/>
      <c r="G25" s="1920"/>
      <c r="H25" s="1920"/>
      <c r="I25" s="1921"/>
    </row>
    <row r="26" spans="1:9" ht="15.75" customHeight="1">
      <c r="A26" s="1324" t="s">
        <v>792</v>
      </c>
      <c r="B26" s="1887">
        <v>0</v>
      </c>
      <c r="C26" s="1887"/>
      <c r="D26" s="1920">
        <v>0</v>
      </c>
      <c r="E26" s="1920"/>
      <c r="F26" s="1920"/>
      <c r="G26" s="1920"/>
      <c r="H26" s="1920"/>
      <c r="I26" s="1921"/>
    </row>
    <row r="27" spans="1:9" ht="22.5" customHeight="1">
      <c r="A27" s="1326" t="s">
        <v>793</v>
      </c>
      <c r="B27" s="1909">
        <f>B12+B17</f>
        <v>2098778496.01</v>
      </c>
      <c r="C27" s="1909"/>
      <c r="D27" s="1909">
        <f>D12+D17</f>
        <v>400752035.78999996</v>
      </c>
      <c r="E27" s="1909"/>
      <c r="F27" s="1909"/>
      <c r="G27" s="1909"/>
      <c r="H27" s="1909"/>
      <c r="I27" s="1910"/>
    </row>
    <row r="28" spans="1:9" ht="15.75">
      <c r="A28" s="1919"/>
      <c r="B28" s="1912"/>
      <c r="C28" s="1912"/>
      <c r="D28" s="1912"/>
      <c r="E28" s="1912"/>
      <c r="F28" s="1912"/>
      <c r="G28" s="1912"/>
      <c r="H28" s="1912"/>
      <c r="I28" s="1913"/>
    </row>
    <row r="29" spans="1:9" ht="15.75">
      <c r="A29" s="1326" t="s">
        <v>794</v>
      </c>
      <c r="B29" s="1909">
        <f>(B19+B21+B22+B23+B24)*0.2</f>
        <v>253887110.4</v>
      </c>
      <c r="C29" s="1909"/>
      <c r="D29" s="1909">
        <f>(D19+D21+D22+D23+D24)*0.2</f>
        <v>55116876.22400001</v>
      </c>
      <c r="E29" s="1909"/>
      <c r="F29" s="1909"/>
      <c r="G29" s="1909"/>
      <c r="H29" s="1909"/>
      <c r="I29" s="1910"/>
    </row>
    <row r="30" spans="1:9" ht="15.75">
      <c r="A30" s="1919"/>
      <c r="B30" s="1912"/>
      <c r="C30" s="1912"/>
      <c r="D30" s="1912"/>
      <c r="E30" s="1912"/>
      <c r="F30" s="1912"/>
      <c r="G30" s="1912"/>
      <c r="H30" s="1912"/>
      <c r="I30" s="1913"/>
    </row>
    <row r="31" spans="1:9" ht="31.5">
      <c r="A31" s="1326" t="s">
        <v>795</v>
      </c>
      <c r="B31" s="1909">
        <f>((B19+B21+B22+B23+B24)*0.05+(B13+B14+B15+B16+B20+B25+B26)*0.25)</f>
        <v>270807513.6025</v>
      </c>
      <c r="C31" s="1909"/>
      <c r="D31" s="1909">
        <f>((D19+D21+D22+D23+D24)*0.05+(D13+D14+D15+D16+D20+D25+D26)*0.25)</f>
        <v>45071132.7235</v>
      </c>
      <c r="E31" s="1909"/>
      <c r="F31" s="1909">
        <f>((F19+F21+F22+F23+F24)*0.05+(F13+F14+F15+F16+F20+F25+F26)*0.25)</f>
        <v>0</v>
      </c>
      <c r="G31" s="1909"/>
      <c r="H31" s="1909">
        <f>((H19+H21+H22+H23+H24)*0.05+(H13+H14+H15+H16+H20+H25+H26)*0.25)</f>
        <v>0</v>
      </c>
      <c r="I31" s="1910"/>
    </row>
    <row r="32" spans="1:9" ht="15.75">
      <c r="A32" s="1911"/>
      <c r="B32" s="1912"/>
      <c r="C32" s="1912"/>
      <c r="D32" s="1912"/>
      <c r="E32" s="1912"/>
      <c r="F32" s="1912"/>
      <c r="G32" s="1912"/>
      <c r="H32" s="1912"/>
      <c r="I32" s="1913"/>
    </row>
    <row r="33" spans="1:9" ht="15.75">
      <c r="A33" s="1914" t="s">
        <v>343</v>
      </c>
      <c r="B33" s="1915"/>
      <c r="C33" s="1915"/>
      <c r="D33" s="1915"/>
      <c r="E33" s="1915"/>
      <c r="F33" s="1915"/>
      <c r="G33" s="1915"/>
      <c r="H33" s="1915"/>
      <c r="I33" s="1916"/>
    </row>
    <row r="34" spans="1:9" ht="15">
      <c r="A34" s="1811" t="s">
        <v>796</v>
      </c>
      <c r="B34" s="1917" t="s">
        <v>797</v>
      </c>
      <c r="C34" s="1917"/>
      <c r="D34" s="1917" t="s">
        <v>798</v>
      </c>
      <c r="E34" s="1917"/>
      <c r="F34" s="1917"/>
      <c r="G34" s="1917"/>
      <c r="H34" s="1917"/>
      <c r="I34" s="1918"/>
    </row>
    <row r="35" spans="1:9" ht="15">
      <c r="A35" s="1811"/>
      <c r="B35" s="1917"/>
      <c r="C35" s="1917"/>
      <c r="D35" s="1917" t="s">
        <v>63</v>
      </c>
      <c r="E35" s="1917"/>
      <c r="F35" s="1917"/>
      <c r="G35" s="1917"/>
      <c r="H35" s="1917"/>
      <c r="I35" s="1918"/>
    </row>
    <row r="36" spans="1:9" ht="15">
      <c r="A36" s="1811"/>
      <c r="B36" s="1917" t="s">
        <v>64</v>
      </c>
      <c r="C36" s="1917"/>
      <c r="D36" s="1917" t="s">
        <v>65</v>
      </c>
      <c r="E36" s="1917"/>
      <c r="F36" s="1917"/>
      <c r="G36" s="1917"/>
      <c r="H36" s="1917"/>
      <c r="I36" s="1918"/>
    </row>
    <row r="37" spans="1:9" ht="15.75">
      <c r="A37" s="1327" t="s">
        <v>799</v>
      </c>
      <c r="B37" s="1890">
        <f>B38+B41+B44</f>
        <v>378245630</v>
      </c>
      <c r="C37" s="1890"/>
      <c r="D37" s="1904">
        <f>D38+D41+D44</f>
        <v>105427399.62</v>
      </c>
      <c r="E37" s="1904"/>
      <c r="F37" s="1904"/>
      <c r="G37" s="1904"/>
      <c r="H37" s="1904"/>
      <c r="I37" s="1905"/>
    </row>
    <row r="38" spans="1:9" ht="15.75">
      <c r="A38" s="1328" t="s">
        <v>800</v>
      </c>
      <c r="B38" s="1890">
        <f>B39+B40</f>
        <v>197246666.46</v>
      </c>
      <c r="C38" s="1890"/>
      <c r="D38" s="1904">
        <f>D39+D40</f>
        <v>48555996.28</v>
      </c>
      <c r="E38" s="1904"/>
      <c r="F38" s="1904"/>
      <c r="G38" s="1904"/>
      <c r="H38" s="1904"/>
      <c r="I38" s="1905"/>
    </row>
    <row r="39" spans="1:9" ht="15">
      <c r="A39" s="1319" t="s">
        <v>801</v>
      </c>
      <c r="B39" s="1900">
        <v>196525809</v>
      </c>
      <c r="C39" s="1900"/>
      <c r="D39" s="1908">
        <v>48548661.26</v>
      </c>
      <c r="E39" s="1908"/>
      <c r="F39" s="1908"/>
      <c r="G39" s="1908"/>
      <c r="H39" s="1908"/>
      <c r="I39" s="1778"/>
    </row>
    <row r="40" spans="1:9" ht="15">
      <c r="A40" s="1319" t="s">
        <v>802</v>
      </c>
      <c r="B40" s="1900">
        <v>720857.46</v>
      </c>
      <c r="C40" s="1900"/>
      <c r="D40" s="1908">
        <v>7335.02</v>
      </c>
      <c r="E40" s="1908"/>
      <c r="F40" s="1908"/>
      <c r="G40" s="1908"/>
      <c r="H40" s="1908"/>
      <c r="I40" s="1778"/>
    </row>
    <row r="41" spans="1:9" ht="15.75">
      <c r="A41" s="1329" t="s">
        <v>803</v>
      </c>
      <c r="B41" s="1890">
        <f>B42+B43</f>
        <v>180998963.54</v>
      </c>
      <c r="C41" s="1890"/>
      <c r="D41" s="1904">
        <f>D42+D43</f>
        <v>56871403.339999996</v>
      </c>
      <c r="E41" s="1904"/>
      <c r="F41" s="1904">
        <f>F42+F43</f>
        <v>0</v>
      </c>
      <c r="G41" s="1904"/>
      <c r="H41" s="1904">
        <f>H42+H43</f>
        <v>0</v>
      </c>
      <c r="I41" s="1905"/>
    </row>
    <row r="42" spans="1:9" ht="15">
      <c r="A42" s="1319" t="s">
        <v>804</v>
      </c>
      <c r="B42" s="1900">
        <v>180337044</v>
      </c>
      <c r="C42" s="1900"/>
      <c r="D42" s="1908">
        <v>56862813.43</v>
      </c>
      <c r="E42" s="1908"/>
      <c r="F42" s="1908"/>
      <c r="G42" s="1908"/>
      <c r="H42" s="1908"/>
      <c r="I42" s="1778"/>
    </row>
    <row r="43" spans="1:9" ht="15">
      <c r="A43" s="1319" t="s">
        <v>805</v>
      </c>
      <c r="B43" s="1900">
        <v>661919.54</v>
      </c>
      <c r="C43" s="1900"/>
      <c r="D43" s="1908">
        <v>8589.91</v>
      </c>
      <c r="E43" s="1908"/>
      <c r="F43" s="1908"/>
      <c r="G43" s="1908"/>
      <c r="H43" s="1908"/>
      <c r="I43" s="1778"/>
    </row>
    <row r="44" spans="1:9" ht="15.75">
      <c r="A44" s="1329" t="s">
        <v>806</v>
      </c>
      <c r="B44" s="1890">
        <f>B45+B46</f>
        <v>0</v>
      </c>
      <c r="C44" s="1890"/>
      <c r="D44" s="1904">
        <f>D45+D46</f>
        <v>0</v>
      </c>
      <c r="E44" s="1904"/>
      <c r="F44" s="1904">
        <f>F45+F46</f>
        <v>0</v>
      </c>
      <c r="G44" s="1904"/>
      <c r="H44" s="1904">
        <f>H45+H46</f>
        <v>0</v>
      </c>
      <c r="I44" s="1905"/>
    </row>
    <row r="45" spans="1:9" ht="15.75">
      <c r="A45" s="1319" t="s">
        <v>807</v>
      </c>
      <c r="B45" s="1890">
        <v>0</v>
      </c>
      <c r="C45" s="1890"/>
      <c r="D45" s="1904">
        <v>0</v>
      </c>
      <c r="E45" s="1904"/>
      <c r="F45" s="1904"/>
      <c r="G45" s="1904"/>
      <c r="H45" s="1904"/>
      <c r="I45" s="1905"/>
    </row>
    <row r="46" spans="1:9" ht="15.75">
      <c r="A46" s="1319" t="s">
        <v>808</v>
      </c>
      <c r="B46" s="1890">
        <v>0</v>
      </c>
      <c r="C46" s="1890"/>
      <c r="D46" s="1904">
        <v>0</v>
      </c>
      <c r="E46" s="1904"/>
      <c r="F46" s="1904"/>
      <c r="G46" s="1904"/>
      <c r="H46" s="1904"/>
      <c r="I46" s="1905"/>
    </row>
    <row r="47" spans="1:9" ht="15.75">
      <c r="A47" s="1323" t="s">
        <v>809</v>
      </c>
      <c r="B47" s="1890">
        <f>B39-B29</f>
        <v>-57361301.400000006</v>
      </c>
      <c r="C47" s="1890"/>
      <c r="D47" s="1904">
        <f>D39-D29</f>
        <v>-6568214.964000009</v>
      </c>
      <c r="E47" s="1904"/>
      <c r="F47" s="1904">
        <f>F39-F29</f>
        <v>0</v>
      </c>
      <c r="G47" s="1904"/>
      <c r="H47" s="1904">
        <f>H39-H29</f>
        <v>0</v>
      </c>
      <c r="I47" s="1905"/>
    </row>
    <row r="48" spans="1:9" ht="31.5">
      <c r="A48" s="1330" t="s">
        <v>810</v>
      </c>
      <c r="B48" s="1906" t="s">
        <v>160</v>
      </c>
      <c r="C48" s="1906"/>
      <c r="D48" s="1906"/>
      <c r="E48" s="1906"/>
      <c r="F48" s="1906"/>
      <c r="G48" s="1906"/>
      <c r="H48" s="1906"/>
      <c r="I48" s="1907"/>
    </row>
    <row r="49" spans="1:9" ht="15.75">
      <c r="A49" s="1331" t="s">
        <v>811</v>
      </c>
      <c r="B49" s="1904">
        <f>B50+B51</f>
        <v>0</v>
      </c>
      <c r="C49" s="1904"/>
      <c r="D49" s="1904"/>
      <c r="E49" s="1904"/>
      <c r="F49" s="1904"/>
      <c r="G49" s="1904"/>
      <c r="H49" s="1904"/>
      <c r="I49" s="1905"/>
    </row>
    <row r="50" spans="1:9" ht="15">
      <c r="A50" s="1332" t="s">
        <v>812</v>
      </c>
      <c r="B50" s="1900"/>
      <c r="C50" s="1900"/>
      <c r="D50" s="1900"/>
      <c r="E50" s="1900"/>
      <c r="F50" s="1900"/>
      <c r="G50" s="1900"/>
      <c r="H50" s="1900"/>
      <c r="I50" s="1901"/>
    </row>
    <row r="51" spans="1:9" ht="15">
      <c r="A51" s="1332" t="s">
        <v>813</v>
      </c>
      <c r="B51" s="1900"/>
      <c r="C51" s="1900"/>
      <c r="D51" s="1900"/>
      <c r="E51" s="1900"/>
      <c r="F51" s="1900"/>
      <c r="G51" s="1900"/>
      <c r="H51" s="1900"/>
      <c r="I51" s="1901"/>
    </row>
    <row r="52" spans="1:9" ht="6" customHeight="1">
      <c r="A52" s="1350"/>
      <c r="B52" s="1903"/>
      <c r="C52" s="1903"/>
      <c r="D52" s="1903"/>
      <c r="E52" s="1903"/>
      <c r="F52" s="1903"/>
      <c r="G52" s="1903"/>
      <c r="H52" s="1903"/>
      <c r="I52" s="1903"/>
    </row>
    <row r="53" spans="1:9" ht="15">
      <c r="A53" s="1333" t="s">
        <v>814</v>
      </c>
      <c r="B53" s="1812">
        <f>D37+B49</f>
        <v>105427399.62</v>
      </c>
      <c r="C53" s="1812"/>
      <c r="D53" s="1812"/>
      <c r="E53" s="1812"/>
      <c r="F53" s="1812"/>
      <c r="G53" s="1812"/>
      <c r="H53" s="1812"/>
      <c r="I53" s="1813"/>
    </row>
    <row r="54" spans="1:9" ht="15">
      <c r="A54" s="1902"/>
      <c r="B54" s="1902"/>
      <c r="C54" s="1902"/>
      <c r="D54" s="1902"/>
      <c r="E54" s="1902"/>
      <c r="F54" s="1902"/>
      <c r="G54" s="1902"/>
      <c r="H54" s="1902"/>
      <c r="I54" s="1902"/>
    </row>
    <row r="55" spans="1:9" ht="30" customHeight="1">
      <c r="A55" s="1811" t="s">
        <v>932</v>
      </c>
      <c r="B55" s="1812" t="s">
        <v>815</v>
      </c>
      <c r="C55" s="1812" t="s">
        <v>816</v>
      </c>
      <c r="D55" s="1812" t="s">
        <v>817</v>
      </c>
      <c r="E55" s="1812"/>
      <c r="F55" s="1363" t="s">
        <v>916</v>
      </c>
      <c r="G55" s="1764" t="s">
        <v>914</v>
      </c>
      <c r="H55" s="1886"/>
      <c r="I55" s="1765"/>
    </row>
    <row r="56" spans="1:9" ht="36.75" customHeight="1">
      <c r="A56" s="1811"/>
      <c r="B56" s="1812"/>
      <c r="C56" s="1812"/>
      <c r="D56" s="1812"/>
      <c r="E56" s="1813"/>
      <c r="F56" s="1322" t="s">
        <v>915</v>
      </c>
      <c r="G56" s="1762" t="s">
        <v>257</v>
      </c>
      <c r="H56" s="1762"/>
      <c r="I56" s="1766"/>
    </row>
    <row r="57" spans="1:9" ht="15.75">
      <c r="A57" s="1327" t="s">
        <v>818</v>
      </c>
      <c r="B57" s="1301">
        <f>B58+B61</f>
        <v>306110311</v>
      </c>
      <c r="C57" s="1301">
        <f>C58+C61</f>
        <v>305945311</v>
      </c>
      <c r="D57" s="1890">
        <f>D58+D61</f>
        <v>47687546.239999995</v>
      </c>
      <c r="E57" s="1890"/>
      <c r="F57" s="1320">
        <f>F58+F61</f>
        <v>47687546.239999995</v>
      </c>
      <c r="G57" s="1898">
        <f>G58+G61</f>
        <v>0</v>
      </c>
      <c r="H57" s="1898"/>
      <c r="I57" s="1899"/>
    </row>
    <row r="58" spans="1:9" ht="15">
      <c r="A58" s="1328" t="s">
        <v>819</v>
      </c>
      <c r="B58" s="1302">
        <f>B59+B60</f>
        <v>73680532.91</v>
      </c>
      <c r="C58" s="1302">
        <f>C59+C60</f>
        <v>73575532.91</v>
      </c>
      <c r="D58" s="1887">
        <f>D59+D60</f>
        <v>10349182.52</v>
      </c>
      <c r="E58" s="1887"/>
      <c r="F58" s="1302">
        <f>F59+F60</f>
        <v>10349182.52</v>
      </c>
      <c r="G58" s="1887">
        <f>G59+G60</f>
        <v>0</v>
      </c>
      <c r="H58" s="1887"/>
      <c r="I58" s="1897"/>
    </row>
    <row r="59" spans="1:9" ht="15.75">
      <c r="A59" s="1328" t="s">
        <v>820</v>
      </c>
      <c r="B59" s="1302">
        <v>22104159.87</v>
      </c>
      <c r="C59" s="1302">
        <v>22072659.88</v>
      </c>
      <c r="D59" s="1887">
        <v>3104754.76</v>
      </c>
      <c r="E59" s="1887"/>
      <c r="F59" s="1302">
        <v>3104754.76</v>
      </c>
      <c r="G59" s="1890"/>
      <c r="H59" s="1890"/>
      <c r="I59" s="1891"/>
    </row>
    <row r="60" spans="1:9" ht="15.75">
      <c r="A60" s="1328" t="s">
        <v>821</v>
      </c>
      <c r="B60" s="1302">
        <v>51576373.04</v>
      </c>
      <c r="C60" s="1302">
        <v>51502873.03</v>
      </c>
      <c r="D60" s="1887">
        <v>7244427.76</v>
      </c>
      <c r="E60" s="1887"/>
      <c r="F60" s="1302">
        <v>7244427.76</v>
      </c>
      <c r="G60" s="1890"/>
      <c r="H60" s="1890"/>
      <c r="I60" s="1891"/>
    </row>
    <row r="61" spans="1:9" ht="15.75">
      <c r="A61" s="1328" t="s">
        <v>822</v>
      </c>
      <c r="B61" s="1302">
        <v>232429778.09</v>
      </c>
      <c r="C61" s="1302">
        <v>232369778.09</v>
      </c>
      <c r="D61" s="1887">
        <v>37338363.72</v>
      </c>
      <c r="E61" s="1887"/>
      <c r="F61" s="1302">
        <v>37338363.72</v>
      </c>
      <c r="G61" s="1890"/>
      <c r="H61" s="1890"/>
      <c r="I61" s="1891"/>
    </row>
    <row r="62" spans="1:9" ht="15.75">
      <c r="A62" s="1327" t="s">
        <v>823</v>
      </c>
      <c r="B62" s="1301">
        <f>B63+B66</f>
        <v>72134818</v>
      </c>
      <c r="C62" s="1301">
        <f>C63+C66</f>
        <v>0</v>
      </c>
      <c r="D62" s="1890">
        <f>D63+D66</f>
        <v>0</v>
      </c>
      <c r="E62" s="1890"/>
      <c r="F62" s="1301">
        <f>F63+F66</f>
        <v>0</v>
      </c>
      <c r="G62" s="1890">
        <f>G63+G66</f>
        <v>0</v>
      </c>
      <c r="H62" s="1890"/>
      <c r="I62" s="1891"/>
    </row>
    <row r="63" spans="1:9" ht="15">
      <c r="A63" s="1328" t="s">
        <v>824</v>
      </c>
      <c r="B63" s="1302">
        <f>B64+B65</f>
        <v>72134818</v>
      </c>
      <c r="C63" s="1302">
        <f>C64+C65</f>
        <v>0</v>
      </c>
      <c r="D63" s="1887">
        <f>D64+D65</f>
        <v>0</v>
      </c>
      <c r="E63" s="1887"/>
      <c r="F63" s="1302">
        <f>F64+F65</f>
        <v>0</v>
      </c>
      <c r="G63" s="1887">
        <f>G64+G65</f>
        <v>0</v>
      </c>
      <c r="H63" s="1887"/>
      <c r="I63" s="1897"/>
    </row>
    <row r="64" spans="1:9" ht="15.75">
      <c r="A64" s="1328" t="s">
        <v>825</v>
      </c>
      <c r="B64" s="1372">
        <v>21640445.4</v>
      </c>
      <c r="C64" s="1372">
        <v>0</v>
      </c>
      <c r="D64" s="1887">
        <v>0</v>
      </c>
      <c r="E64" s="1887"/>
      <c r="F64" s="1372">
        <v>0</v>
      </c>
      <c r="G64" s="1890"/>
      <c r="H64" s="1890"/>
      <c r="I64" s="1891"/>
    </row>
    <row r="65" spans="1:9" ht="15.75">
      <c r="A65" s="1328" t="s">
        <v>826</v>
      </c>
      <c r="B65" s="1372">
        <v>50494372.6</v>
      </c>
      <c r="C65" s="1372">
        <v>0</v>
      </c>
      <c r="D65" s="1887">
        <v>0</v>
      </c>
      <c r="E65" s="1887"/>
      <c r="F65" s="1372">
        <v>0</v>
      </c>
      <c r="G65" s="1890"/>
      <c r="H65" s="1890"/>
      <c r="I65" s="1891"/>
    </row>
    <row r="66" spans="1:9" ht="15.75">
      <c r="A66" s="1328" t="s">
        <v>827</v>
      </c>
      <c r="B66" s="1373">
        <v>0</v>
      </c>
      <c r="C66" s="1303"/>
      <c r="D66" s="1887"/>
      <c r="E66" s="1887"/>
      <c r="F66" s="1303"/>
      <c r="G66" s="1890"/>
      <c r="H66" s="1890"/>
      <c r="I66" s="1891"/>
    </row>
    <row r="67" spans="1:9" ht="15.75">
      <c r="A67" s="1334" t="s">
        <v>828</v>
      </c>
      <c r="B67" s="1270">
        <f>B57+B62</f>
        <v>378245129</v>
      </c>
      <c r="C67" s="1270">
        <f>C57+C62</f>
        <v>305945311</v>
      </c>
      <c r="D67" s="1892">
        <f>D57+D62</f>
        <v>47687546.239999995</v>
      </c>
      <c r="E67" s="1892"/>
      <c r="F67" s="1270">
        <f>F57+F62</f>
        <v>47687546.239999995</v>
      </c>
      <c r="G67" s="1892">
        <f>G57+G62</f>
        <v>0</v>
      </c>
      <c r="H67" s="1892"/>
      <c r="I67" s="1893"/>
    </row>
    <row r="68" spans="1:9" ht="15.75">
      <c r="A68" s="1271"/>
      <c r="B68" s="1272"/>
      <c r="C68" s="1273"/>
      <c r="D68" s="1273"/>
      <c r="E68" s="1273"/>
      <c r="F68" s="1273"/>
      <c r="G68" s="1273"/>
      <c r="H68" s="1273"/>
      <c r="I68" s="1273"/>
    </row>
    <row r="69" spans="1:9" ht="15.75">
      <c r="A69" s="1894" t="s">
        <v>293</v>
      </c>
      <c r="B69" s="1895"/>
      <c r="C69" s="1895"/>
      <c r="D69" s="1895"/>
      <c r="E69" s="1895"/>
      <c r="F69" s="1895"/>
      <c r="G69" s="1895"/>
      <c r="H69" s="1895"/>
      <c r="I69" s="1896"/>
    </row>
    <row r="70" spans="1:9" ht="60">
      <c r="A70" s="1335" t="s">
        <v>829</v>
      </c>
      <c r="B70" s="1299" t="s">
        <v>933</v>
      </c>
      <c r="C70" s="1299" t="s">
        <v>830</v>
      </c>
      <c r="D70" s="1812" t="s">
        <v>831</v>
      </c>
      <c r="E70" s="1812"/>
      <c r="F70" s="1299" t="s">
        <v>832</v>
      </c>
      <c r="G70" s="1812" t="s">
        <v>833</v>
      </c>
      <c r="H70" s="1812"/>
      <c r="I70" s="1813"/>
    </row>
    <row r="71" spans="1:9" ht="15.75">
      <c r="A71" s="1324" t="s">
        <v>834</v>
      </c>
      <c r="B71" s="1300">
        <v>305945311</v>
      </c>
      <c r="C71" s="1300">
        <v>47687546.24</v>
      </c>
      <c r="D71" s="1887">
        <v>47687546.24</v>
      </c>
      <c r="E71" s="1887"/>
      <c r="F71" s="1302"/>
      <c r="G71" s="1888"/>
      <c r="H71" s="1888"/>
      <c r="I71" s="1889"/>
    </row>
    <row r="72" spans="1:9" ht="15.75">
      <c r="A72" s="1324" t="s">
        <v>835</v>
      </c>
      <c r="B72" s="1300">
        <v>197868085</v>
      </c>
      <c r="C72" s="1300">
        <v>23670084.92</v>
      </c>
      <c r="D72" s="1887">
        <v>23670084.92</v>
      </c>
      <c r="E72" s="1887"/>
      <c r="F72" s="1302"/>
      <c r="G72" s="1888"/>
      <c r="H72" s="1888"/>
      <c r="I72" s="1889"/>
    </row>
    <row r="73" spans="1:9" ht="15.75">
      <c r="A73" s="1324" t="s">
        <v>836</v>
      </c>
      <c r="B73" s="1300">
        <v>108077226</v>
      </c>
      <c r="C73" s="1300">
        <v>24017461.32</v>
      </c>
      <c r="D73" s="1887">
        <v>24017461.32</v>
      </c>
      <c r="E73" s="1887"/>
      <c r="F73" s="1302"/>
      <c r="G73" s="1888"/>
      <c r="H73" s="1888"/>
      <c r="I73" s="1889"/>
    </row>
    <row r="74" spans="1:9" ht="15.75">
      <c r="A74" s="1324" t="s">
        <v>837</v>
      </c>
      <c r="B74" s="1300"/>
      <c r="C74" s="1300"/>
      <c r="D74" s="1887"/>
      <c r="E74" s="1887"/>
      <c r="F74" s="1302"/>
      <c r="G74" s="1888"/>
      <c r="H74" s="1888"/>
      <c r="I74" s="1889"/>
    </row>
    <row r="75" spans="1:9" ht="15.75">
      <c r="A75" s="1324" t="s">
        <v>838</v>
      </c>
      <c r="B75" s="1300"/>
      <c r="C75" s="1300"/>
      <c r="D75" s="1887"/>
      <c r="E75" s="1887"/>
      <c r="F75" s="1302"/>
      <c r="G75" s="1888"/>
      <c r="H75" s="1888"/>
      <c r="I75" s="1889"/>
    </row>
    <row r="76" spans="1:9" ht="15.75">
      <c r="A76" s="1324" t="s">
        <v>839</v>
      </c>
      <c r="B76" s="1300"/>
      <c r="C76" s="1300"/>
      <c r="D76" s="1887"/>
      <c r="E76" s="1887"/>
      <c r="F76" s="1302"/>
      <c r="G76" s="1888"/>
      <c r="H76" s="1888"/>
      <c r="I76" s="1889"/>
    </row>
    <row r="77" spans="1:9" ht="32.25" customHeight="1">
      <c r="A77" s="1763" t="s">
        <v>840</v>
      </c>
      <c r="B77" s="1764" t="s">
        <v>841</v>
      </c>
      <c r="C77" s="1765"/>
      <c r="D77" s="1884" t="s">
        <v>842</v>
      </c>
      <c r="E77" s="1884"/>
      <c r="F77" s="1761" t="s">
        <v>918</v>
      </c>
      <c r="G77" s="1764" t="s">
        <v>843</v>
      </c>
      <c r="H77" s="1886"/>
      <c r="I77" s="1886"/>
    </row>
    <row r="78" spans="1:9" ht="27.75" customHeight="1">
      <c r="A78" s="1760"/>
      <c r="B78" s="1766"/>
      <c r="C78" s="1767"/>
      <c r="D78" s="1766" t="s">
        <v>301</v>
      </c>
      <c r="E78" s="1885"/>
      <c r="F78" s="1885"/>
      <c r="G78" s="1766"/>
      <c r="H78" s="1767"/>
      <c r="I78" s="1767"/>
    </row>
    <row r="79" spans="1:9" ht="14.25">
      <c r="A79" s="1336" t="s">
        <v>844</v>
      </c>
      <c r="B79" s="1796">
        <f>D37*70/100</f>
        <v>73799179.73400001</v>
      </c>
      <c r="C79" s="1881"/>
      <c r="D79" s="1883">
        <f>C71</f>
        <v>47687546.24</v>
      </c>
      <c r="E79" s="1883"/>
      <c r="F79" s="1274">
        <f>C71-G71</f>
        <v>47687546.24</v>
      </c>
      <c r="G79" s="1866">
        <f>F79/D37*100</f>
        <v>45.23259267693584</v>
      </c>
      <c r="H79" s="1866"/>
      <c r="I79" s="1774"/>
    </row>
    <row r="80" spans="1:9" ht="14.25">
      <c r="A80" s="1336" t="s">
        <v>845</v>
      </c>
      <c r="B80" s="1796">
        <f>D44*50/100</f>
        <v>0</v>
      </c>
      <c r="C80" s="1881"/>
      <c r="D80" s="1796">
        <f>C75</f>
        <v>0</v>
      </c>
      <c r="E80" s="1881"/>
      <c r="F80" s="1274">
        <f>C75-G75</f>
        <v>0</v>
      </c>
      <c r="G80" s="1866" t="e">
        <f>F80/D44*100</f>
        <v>#DIV/0!</v>
      </c>
      <c r="H80" s="1866"/>
      <c r="I80" s="1774"/>
    </row>
    <row r="81" spans="1:9" ht="14.25">
      <c r="A81" s="1336" t="s">
        <v>846</v>
      </c>
      <c r="B81" s="1796">
        <f>D44*15/100</f>
        <v>0</v>
      </c>
      <c r="C81" s="1881"/>
      <c r="D81" s="1795">
        <f>C76</f>
        <v>0</v>
      </c>
      <c r="E81" s="1795"/>
      <c r="F81" s="1274">
        <f>C76-G76</f>
        <v>0</v>
      </c>
      <c r="G81" s="1866" t="e">
        <f>F81/D44*100</f>
        <v>#DIV/0!</v>
      </c>
      <c r="H81" s="1866"/>
      <c r="I81" s="1774"/>
    </row>
    <row r="82" spans="1:9" ht="42" customHeight="1">
      <c r="A82" s="1337" t="s">
        <v>847</v>
      </c>
      <c r="B82" s="1812" t="s">
        <v>848</v>
      </c>
      <c r="C82" s="1812"/>
      <c r="D82" s="1812" t="s">
        <v>849</v>
      </c>
      <c r="E82" s="1812"/>
      <c r="F82" s="1275" t="s">
        <v>917</v>
      </c>
      <c r="G82" s="1813" t="s">
        <v>850</v>
      </c>
      <c r="H82" s="1882"/>
      <c r="I82" s="1882"/>
    </row>
    <row r="83" spans="1:9" ht="14.25">
      <c r="A83" s="1338" t="s">
        <v>851</v>
      </c>
      <c r="B83" s="1873">
        <f>D37*10/100</f>
        <v>10542739.962000001</v>
      </c>
      <c r="C83" s="1874"/>
      <c r="D83" s="1873">
        <f>D37-(C72+C73+C74)</f>
        <v>57739853.38</v>
      </c>
      <c r="E83" s="1874"/>
      <c r="F83" s="1374">
        <f>D83+(G72+G73+G74)</f>
        <v>57739853.38</v>
      </c>
      <c r="G83" s="1875">
        <f>F83/D37*100</f>
        <v>54.76740732306416</v>
      </c>
      <c r="H83" s="1876"/>
      <c r="I83" s="1876"/>
    </row>
    <row r="84" spans="1:9" ht="74.25" customHeight="1">
      <c r="A84" s="1337" t="s">
        <v>852</v>
      </c>
      <c r="B84" s="1276" t="s">
        <v>934</v>
      </c>
      <c r="C84" s="1277" t="s">
        <v>853</v>
      </c>
      <c r="D84" s="1877" t="s">
        <v>854</v>
      </c>
      <c r="E84" s="1878"/>
      <c r="F84" s="1276" t="s">
        <v>919</v>
      </c>
      <c r="G84" s="1879" t="s">
        <v>855</v>
      </c>
      <c r="H84" s="1880"/>
      <c r="I84" s="1278" t="s">
        <v>920</v>
      </c>
    </row>
    <row r="85" spans="1:9" ht="14.25">
      <c r="A85" s="1338" t="s">
        <v>856</v>
      </c>
      <c r="B85" s="1279">
        <f>B86+B87</f>
        <v>0</v>
      </c>
      <c r="C85" s="1279">
        <f>C86+C87</f>
        <v>0</v>
      </c>
      <c r="D85" s="1864">
        <f>D86+D87</f>
        <v>0</v>
      </c>
      <c r="E85" s="1865"/>
      <c r="F85" s="1280">
        <f>F86+F87</f>
        <v>0</v>
      </c>
      <c r="G85" s="1864">
        <f>G86+G87</f>
        <v>0</v>
      </c>
      <c r="H85" s="1865"/>
      <c r="I85" s="1348">
        <f>I86+I87</f>
        <v>0</v>
      </c>
    </row>
    <row r="86" spans="1:9" ht="14.25">
      <c r="A86" s="1338" t="s">
        <v>857</v>
      </c>
      <c r="B86" s="1281"/>
      <c r="C86" s="1281"/>
      <c r="D86" s="1864"/>
      <c r="E86" s="1865"/>
      <c r="F86" s="1280"/>
      <c r="G86" s="1866"/>
      <c r="H86" s="1866"/>
      <c r="I86" s="1349"/>
    </row>
    <row r="87" spans="1:9" ht="15">
      <c r="A87" s="1339" t="s">
        <v>858</v>
      </c>
      <c r="B87" s="1282"/>
      <c r="C87" s="1282"/>
      <c r="D87" s="1867"/>
      <c r="E87" s="1867"/>
      <c r="F87" s="1283"/>
      <c r="G87" s="1868"/>
      <c r="H87" s="1868"/>
      <c r="I87" s="1351"/>
    </row>
    <row r="88" spans="1:9" ht="14.25">
      <c r="A88" s="1284"/>
      <c r="B88" s="1284"/>
      <c r="C88" s="1284"/>
      <c r="D88" s="1284"/>
      <c r="E88" s="1284"/>
      <c r="F88" s="1284"/>
      <c r="G88" s="1284"/>
      <c r="H88" s="1284"/>
      <c r="I88" s="1285"/>
    </row>
    <row r="89" spans="1:9" ht="15">
      <c r="A89" s="1869" t="s">
        <v>859</v>
      </c>
      <c r="B89" s="1869"/>
      <c r="C89" s="1869"/>
      <c r="D89" s="1869"/>
      <c r="E89" s="1869"/>
      <c r="F89" s="1828"/>
      <c r="G89" s="1869"/>
      <c r="H89" s="1869"/>
      <c r="I89" s="1869"/>
    </row>
    <row r="90" spans="1:9" ht="60" customHeight="1">
      <c r="A90" s="1759" t="s">
        <v>924</v>
      </c>
      <c r="B90" s="1872" t="s">
        <v>815</v>
      </c>
      <c r="C90" s="1872" t="s">
        <v>816</v>
      </c>
      <c r="D90" s="1870" t="s">
        <v>817</v>
      </c>
      <c r="E90" s="1871"/>
      <c r="F90" s="1310" t="s">
        <v>922</v>
      </c>
      <c r="G90" s="1870" t="s">
        <v>923</v>
      </c>
      <c r="H90" s="1871"/>
      <c r="I90" s="1871"/>
    </row>
    <row r="91" spans="1:9" ht="15">
      <c r="A91" s="1760"/>
      <c r="B91" s="1762"/>
      <c r="C91" s="1762"/>
      <c r="D91" s="1766"/>
      <c r="E91" s="1767"/>
      <c r="F91" s="1309" t="s">
        <v>921</v>
      </c>
      <c r="G91" s="1766" t="s">
        <v>257</v>
      </c>
      <c r="H91" s="1767"/>
      <c r="I91" s="1767"/>
    </row>
    <row r="92" spans="1:10" s="1357" customFormat="1" ht="24.75" customHeight="1">
      <c r="A92" s="1340" t="s">
        <v>860</v>
      </c>
      <c r="B92" s="1354">
        <f>B93+B94</f>
        <v>49700714.91</v>
      </c>
      <c r="C92" s="1354">
        <f>C93+C94</f>
        <v>27418569.16</v>
      </c>
      <c r="D92" s="1860">
        <f>D93+D94</f>
        <v>620853</v>
      </c>
      <c r="E92" s="1861"/>
      <c r="F92" s="1355">
        <f>F93+F94</f>
        <v>620853</v>
      </c>
      <c r="G92" s="1862">
        <f>G93+G94</f>
        <v>0</v>
      </c>
      <c r="H92" s="1862"/>
      <c r="I92" s="1863"/>
      <c r="J92" s="1356"/>
    </row>
    <row r="93" spans="1:9" ht="14.25">
      <c r="A93" s="1341" t="s">
        <v>861</v>
      </c>
      <c r="B93" s="1358">
        <v>14910214.48</v>
      </c>
      <c r="C93" s="1358">
        <v>8225570.75</v>
      </c>
      <c r="D93" s="1854">
        <v>186255.9</v>
      </c>
      <c r="E93" s="1855"/>
      <c r="F93" s="1358">
        <v>186255.9</v>
      </c>
      <c r="G93" s="1854"/>
      <c r="H93" s="1856"/>
      <c r="I93" s="1856"/>
    </row>
    <row r="94" spans="1:9" ht="14.25">
      <c r="A94" s="1342" t="s">
        <v>862</v>
      </c>
      <c r="B94" s="1358">
        <v>34790500.43</v>
      </c>
      <c r="C94" s="1358">
        <v>19192998.41</v>
      </c>
      <c r="D94" s="1854">
        <v>434597.1</v>
      </c>
      <c r="E94" s="1855"/>
      <c r="F94" s="1358">
        <v>434597.1</v>
      </c>
      <c r="G94" s="1854"/>
      <c r="H94" s="1856"/>
      <c r="I94" s="1856"/>
    </row>
    <row r="95" spans="1:9" ht="15">
      <c r="A95" s="1340" t="s">
        <v>863</v>
      </c>
      <c r="B95" s="1358">
        <v>240195777.07</v>
      </c>
      <c r="C95" s="1358">
        <v>168992616.09</v>
      </c>
      <c r="D95" s="1854">
        <v>14875908.08</v>
      </c>
      <c r="E95" s="1855"/>
      <c r="F95" s="1358">
        <v>14520795.61</v>
      </c>
      <c r="G95" s="1854"/>
      <c r="H95" s="1856"/>
      <c r="I95" s="1856"/>
    </row>
    <row r="96" spans="1:9" ht="15">
      <c r="A96" s="1343" t="s">
        <v>864</v>
      </c>
      <c r="B96" s="1311">
        <f>B92+B95</f>
        <v>289896491.98</v>
      </c>
      <c r="C96" s="1311">
        <f>C92+C95</f>
        <v>196411185.25</v>
      </c>
      <c r="D96" s="1857">
        <f>D92+D95</f>
        <v>15496761.08</v>
      </c>
      <c r="E96" s="1763"/>
      <c r="F96" s="1311">
        <f>F92+F95</f>
        <v>15141648.61</v>
      </c>
      <c r="G96" s="1858">
        <f>G92+G95</f>
        <v>0</v>
      </c>
      <c r="H96" s="1827"/>
      <c r="I96" s="1827"/>
    </row>
    <row r="97" spans="1:9" ht="15">
      <c r="A97" s="1312"/>
      <c r="B97" s="1313"/>
      <c r="C97" s="1313"/>
      <c r="D97" s="1314"/>
      <c r="E97" s="1315"/>
      <c r="F97" s="1313"/>
      <c r="G97" s="1314"/>
      <c r="H97" s="1315"/>
      <c r="I97" s="1315"/>
    </row>
    <row r="98" spans="1:9" ht="15">
      <c r="A98" s="1827" t="s">
        <v>865</v>
      </c>
      <c r="B98" s="1827"/>
      <c r="C98" s="1827"/>
      <c r="D98" s="1827"/>
      <c r="E98" s="1827"/>
      <c r="F98" s="1811"/>
      <c r="G98" s="1839" t="s">
        <v>160</v>
      </c>
      <c r="H98" s="1839"/>
      <c r="I98" s="1859"/>
    </row>
    <row r="99" spans="1:9" ht="14.25">
      <c r="A99" s="1851" t="s">
        <v>866</v>
      </c>
      <c r="B99" s="1851"/>
      <c r="C99" s="1851"/>
      <c r="D99" s="1851"/>
      <c r="E99" s="1851"/>
      <c r="F99" s="1845"/>
      <c r="G99" s="1852">
        <f>C72+D96+F86</f>
        <v>39166846</v>
      </c>
      <c r="H99" s="1853"/>
      <c r="I99" s="1853"/>
    </row>
    <row r="100" spans="1:9" ht="14.25">
      <c r="A100" s="1851" t="s">
        <v>867</v>
      </c>
      <c r="B100" s="1851"/>
      <c r="C100" s="1851"/>
      <c r="D100" s="1851"/>
      <c r="E100" s="1851"/>
      <c r="F100" s="1845"/>
      <c r="G100" s="1852">
        <f>D47</f>
        <v>-6568214.964000009</v>
      </c>
      <c r="H100" s="1853"/>
      <c r="I100" s="1853"/>
    </row>
    <row r="101" spans="1:9" ht="14.25">
      <c r="A101" s="1851" t="s">
        <v>868</v>
      </c>
      <c r="B101" s="1851"/>
      <c r="C101" s="1851"/>
      <c r="D101" s="1851"/>
      <c r="E101" s="1851"/>
      <c r="F101" s="1845"/>
      <c r="G101" s="1852">
        <f>G72</f>
        <v>0</v>
      </c>
      <c r="H101" s="1853"/>
      <c r="I101" s="1853"/>
    </row>
    <row r="102" spans="1:9" ht="16.5">
      <c r="A102" s="1851" t="s">
        <v>954</v>
      </c>
      <c r="B102" s="1851"/>
      <c r="C102" s="1851"/>
      <c r="D102" s="1851"/>
      <c r="E102" s="1851"/>
      <c r="F102" s="1845"/>
      <c r="G102" s="1852"/>
      <c r="H102" s="1853"/>
      <c r="I102" s="1853"/>
    </row>
    <row r="103" spans="1:9" ht="14.25">
      <c r="A103" s="1851" t="s">
        <v>869</v>
      </c>
      <c r="B103" s="1851"/>
      <c r="C103" s="1851"/>
      <c r="D103" s="1851"/>
      <c r="E103" s="1851"/>
      <c r="F103" s="1845"/>
      <c r="G103" s="1852">
        <f>(F111+F112)</f>
        <v>0</v>
      </c>
      <c r="H103" s="1853"/>
      <c r="I103" s="1853"/>
    </row>
    <row r="104" spans="1:9" ht="14.25">
      <c r="A104" s="1851" t="s">
        <v>870</v>
      </c>
      <c r="B104" s="1851"/>
      <c r="C104" s="1851"/>
      <c r="D104" s="1851"/>
      <c r="E104" s="1851"/>
      <c r="F104" s="1845"/>
      <c r="G104" s="1852">
        <f>(G99-(G100+G101+G102+G103))</f>
        <v>45735060.96400001</v>
      </c>
      <c r="H104" s="1853"/>
      <c r="I104" s="1853"/>
    </row>
    <row r="105" spans="1:9" ht="14.25">
      <c r="A105" s="1286"/>
      <c r="B105" s="1286"/>
      <c r="C105" s="1286"/>
      <c r="D105" s="1286"/>
      <c r="E105" s="1286"/>
      <c r="F105" s="1287"/>
      <c r="G105" s="1317"/>
      <c r="H105" s="1318"/>
      <c r="I105" s="1318"/>
    </row>
    <row r="106" spans="1:9" ht="36.75" customHeight="1">
      <c r="A106" s="1842" t="s">
        <v>955</v>
      </c>
      <c r="B106" s="1843"/>
      <c r="C106" s="1844" t="s">
        <v>871</v>
      </c>
      <c r="D106" s="1844"/>
      <c r="E106" s="1844"/>
      <c r="F106" s="1844" t="s">
        <v>930</v>
      </c>
      <c r="G106" s="1844"/>
      <c r="H106" s="1812" t="s">
        <v>931</v>
      </c>
      <c r="I106" s="1813"/>
    </row>
    <row r="107" spans="1:9" ht="14.25">
      <c r="A107" s="1845" t="s">
        <v>872</v>
      </c>
      <c r="B107" s="1846"/>
      <c r="C107" s="1836">
        <f>D27*25/100</f>
        <v>100188008.9475</v>
      </c>
      <c r="D107" s="1847"/>
      <c r="E107" s="1847"/>
      <c r="F107" s="1848">
        <f>G104</f>
        <v>45735060.96400001</v>
      </c>
      <c r="G107" s="1847"/>
      <c r="H107" s="1849">
        <f>G104/D27*100</f>
        <v>11.412309078815476</v>
      </c>
      <c r="I107" s="1850"/>
    </row>
    <row r="108" spans="1:9" ht="14.25">
      <c r="A108" s="1786"/>
      <c r="B108" s="1836"/>
      <c r="C108" s="1836"/>
      <c r="D108" s="1836"/>
      <c r="E108" s="1836"/>
      <c r="F108" s="1836"/>
      <c r="G108" s="1836"/>
      <c r="H108" s="1837"/>
      <c r="I108" s="1838"/>
    </row>
    <row r="109" spans="1:9" ht="33" customHeight="1">
      <c r="A109" s="1316" t="s">
        <v>873</v>
      </c>
      <c r="B109" s="1362" t="s">
        <v>935</v>
      </c>
      <c r="C109" s="1288" t="s">
        <v>874</v>
      </c>
      <c r="D109" s="1839" t="s">
        <v>875</v>
      </c>
      <c r="E109" s="1839"/>
      <c r="F109" s="1839" t="s">
        <v>928</v>
      </c>
      <c r="G109" s="1839"/>
      <c r="H109" s="1840" t="s">
        <v>929</v>
      </c>
      <c r="I109" s="1841"/>
    </row>
    <row r="110" spans="1:9" ht="15">
      <c r="A110" s="1344" t="s">
        <v>876</v>
      </c>
      <c r="B110" s="1289">
        <f>B111+B112+B113</f>
        <v>204443450.01999998</v>
      </c>
      <c r="C110" s="1289">
        <f aca="true" t="shared" si="0" ref="C110:H110">C111+C112+C113</f>
        <v>65161163.24</v>
      </c>
      <c r="D110" s="1823">
        <f t="shared" si="0"/>
        <v>0</v>
      </c>
      <c r="E110" s="1835"/>
      <c r="F110" s="1823">
        <f t="shared" si="0"/>
        <v>0</v>
      </c>
      <c r="G110" s="1835"/>
      <c r="H110" s="1823">
        <f t="shared" si="0"/>
        <v>204443450.01999998</v>
      </c>
      <c r="I110" s="1824"/>
    </row>
    <row r="111" spans="1:9" ht="14.25">
      <c r="A111" s="1345" t="s">
        <v>877</v>
      </c>
      <c r="B111" s="1372">
        <v>195001439.64</v>
      </c>
      <c r="C111" s="1372">
        <v>62137988.02</v>
      </c>
      <c r="D111" s="1819"/>
      <c r="E111" s="1819"/>
      <c r="F111" s="1819"/>
      <c r="G111" s="1819"/>
      <c r="H111" s="1819">
        <f>B111-D111-F111</f>
        <v>195001439.64</v>
      </c>
      <c r="I111" s="1820"/>
    </row>
    <row r="112" spans="1:9" ht="14.25">
      <c r="A112" s="1345" t="s">
        <v>878</v>
      </c>
      <c r="B112" s="1372">
        <v>2876744.64</v>
      </c>
      <c r="C112" s="1372">
        <v>1876744.64</v>
      </c>
      <c r="D112" s="1819"/>
      <c r="E112" s="1819"/>
      <c r="F112" s="1819"/>
      <c r="G112" s="1819"/>
      <c r="H112" s="1819">
        <f>B112-D112-F112</f>
        <v>2876744.64</v>
      </c>
      <c r="I112" s="1820"/>
    </row>
    <row r="113" spans="1:9" ht="14.25">
      <c r="A113" s="1345" t="s">
        <v>879</v>
      </c>
      <c r="B113" s="1372">
        <v>6565265.74</v>
      </c>
      <c r="C113" s="1372">
        <v>1146430.58</v>
      </c>
      <c r="D113" s="1819"/>
      <c r="E113" s="1819"/>
      <c r="F113" s="1819"/>
      <c r="G113" s="1819"/>
      <c r="H113" s="1819">
        <f>B113-D113-F113</f>
        <v>6565265.74</v>
      </c>
      <c r="I113" s="1820"/>
    </row>
    <row r="114" spans="1:9" ht="14.25">
      <c r="A114" s="1772"/>
      <c r="B114" s="1772"/>
      <c r="C114" s="1772"/>
      <c r="D114" s="1772"/>
      <c r="E114" s="1772"/>
      <c r="F114" s="1772"/>
      <c r="G114" s="1772"/>
      <c r="H114" s="1772"/>
      <c r="I114" s="1772"/>
    </row>
    <row r="115" spans="1:9" ht="15">
      <c r="A115" s="1827" t="s">
        <v>197</v>
      </c>
      <c r="B115" s="1827"/>
      <c r="C115" s="1827"/>
      <c r="D115" s="1827"/>
      <c r="E115" s="1827"/>
      <c r="F115" s="1827"/>
      <c r="G115" s="1827"/>
      <c r="H115" s="1827"/>
      <c r="I115" s="1827"/>
    </row>
    <row r="116" spans="1:9" ht="15">
      <c r="A116" s="1828" t="s">
        <v>193</v>
      </c>
      <c r="B116" s="1763"/>
      <c r="C116" s="1832" t="s">
        <v>880</v>
      </c>
      <c r="D116" s="1828"/>
      <c r="E116" s="1763"/>
      <c r="F116" s="1832" t="s">
        <v>881</v>
      </c>
      <c r="G116" s="1828"/>
      <c r="H116" s="1828"/>
      <c r="I116" s="1828"/>
    </row>
    <row r="117" spans="1:9" ht="15">
      <c r="A117" s="1829"/>
      <c r="B117" s="1830"/>
      <c r="C117" s="1833"/>
      <c r="D117" s="1829"/>
      <c r="E117" s="1829"/>
      <c r="F117" s="1833" t="s">
        <v>882</v>
      </c>
      <c r="G117" s="1829"/>
      <c r="H117" s="1829"/>
      <c r="I117" s="1829"/>
    </row>
    <row r="118" spans="1:9" ht="15">
      <c r="A118" s="1831"/>
      <c r="B118" s="1760"/>
      <c r="C118" s="1834" t="s">
        <v>64</v>
      </c>
      <c r="D118" s="1831"/>
      <c r="E118" s="1760"/>
      <c r="F118" s="1834" t="s">
        <v>65</v>
      </c>
      <c r="G118" s="1831"/>
      <c r="H118" s="1831"/>
      <c r="I118" s="1831"/>
    </row>
    <row r="119" spans="1:10" s="1357" customFormat="1" ht="15">
      <c r="A119" s="1777" t="s">
        <v>883</v>
      </c>
      <c r="B119" s="1816"/>
      <c r="C119" s="1821">
        <f>C120+C121+C122+C123+C124</f>
        <v>46157720.14</v>
      </c>
      <c r="D119" s="1822"/>
      <c r="E119" s="1822"/>
      <c r="F119" s="1823">
        <f>F120+F121+F122+F123+F124</f>
        <v>3206569.7</v>
      </c>
      <c r="G119" s="1824"/>
      <c r="H119" s="1824"/>
      <c r="I119" s="1824"/>
      <c r="J119" s="1356"/>
    </row>
    <row r="120" spans="1:9" ht="14.25">
      <c r="A120" s="1770" t="s">
        <v>884</v>
      </c>
      <c r="B120" s="1818"/>
      <c r="C120" s="1825">
        <v>6631858</v>
      </c>
      <c r="D120" s="1826"/>
      <c r="E120" s="1826"/>
      <c r="F120" s="2226">
        <v>943300.1</v>
      </c>
      <c r="G120" s="2226"/>
      <c r="H120" s="2226"/>
      <c r="I120" s="2227"/>
    </row>
    <row r="121" spans="1:9" ht="14.25">
      <c r="A121" s="1770" t="s">
        <v>885</v>
      </c>
      <c r="B121" s="1818"/>
      <c r="C121" s="1819">
        <v>0</v>
      </c>
      <c r="D121" s="1819"/>
      <c r="E121" s="1819"/>
      <c r="F121" s="2226">
        <v>0</v>
      </c>
      <c r="G121" s="2226"/>
      <c r="H121" s="2226"/>
      <c r="I121" s="2227"/>
    </row>
    <row r="122" spans="1:9" ht="14.25">
      <c r="A122" s="1770" t="s">
        <v>886</v>
      </c>
      <c r="B122" s="1818"/>
      <c r="C122" s="1819">
        <v>13753004</v>
      </c>
      <c r="D122" s="1819"/>
      <c r="E122" s="1819"/>
      <c r="F122" s="2226">
        <v>2263269.6</v>
      </c>
      <c r="G122" s="2226"/>
      <c r="H122" s="2226"/>
      <c r="I122" s="2227"/>
    </row>
    <row r="123" spans="1:9" ht="14.25">
      <c r="A123" s="1770" t="s">
        <v>887</v>
      </c>
      <c r="B123" s="1818"/>
      <c r="C123" s="1819">
        <v>1117795.96</v>
      </c>
      <c r="D123" s="1819"/>
      <c r="E123" s="1819"/>
      <c r="F123" s="2226">
        <v>0</v>
      </c>
      <c r="G123" s="2226"/>
      <c r="H123" s="2226"/>
      <c r="I123" s="2227"/>
    </row>
    <row r="124" spans="1:9" ht="14.25">
      <c r="A124" s="1770" t="s">
        <v>888</v>
      </c>
      <c r="B124" s="1818"/>
      <c r="C124" s="1819">
        <v>24655062.18</v>
      </c>
      <c r="D124" s="1819"/>
      <c r="E124" s="1819"/>
      <c r="F124" s="2226">
        <v>0</v>
      </c>
      <c r="G124" s="2226"/>
      <c r="H124" s="2226"/>
      <c r="I124" s="2227"/>
    </row>
    <row r="125" spans="1:10" s="1357" customFormat="1" ht="15">
      <c r="A125" s="1777" t="s">
        <v>889</v>
      </c>
      <c r="B125" s="1816"/>
      <c r="C125" s="1817">
        <v>0</v>
      </c>
      <c r="D125" s="1817"/>
      <c r="E125" s="1817"/>
      <c r="F125" s="2228">
        <v>0</v>
      </c>
      <c r="G125" s="2228"/>
      <c r="H125" s="2228"/>
      <c r="I125" s="2229"/>
      <c r="J125" s="1356"/>
    </row>
    <row r="126" spans="1:10" s="1357" customFormat="1" ht="15">
      <c r="A126" s="1777" t="s">
        <v>890</v>
      </c>
      <c r="B126" s="1816"/>
      <c r="C126" s="1817">
        <v>0</v>
      </c>
      <c r="D126" s="1817"/>
      <c r="E126" s="1817"/>
      <c r="F126" s="2228">
        <v>0</v>
      </c>
      <c r="G126" s="2228"/>
      <c r="H126" s="2228"/>
      <c r="I126" s="2229"/>
      <c r="J126" s="1356"/>
    </row>
    <row r="127" spans="1:10" s="1357" customFormat="1" ht="15">
      <c r="A127" s="1777" t="s">
        <v>891</v>
      </c>
      <c r="B127" s="1816"/>
      <c r="C127" s="1817">
        <v>0</v>
      </c>
      <c r="D127" s="1817"/>
      <c r="E127" s="1817"/>
      <c r="F127" s="2228">
        <v>0</v>
      </c>
      <c r="G127" s="2228"/>
      <c r="H127" s="2228"/>
      <c r="I127" s="2229"/>
      <c r="J127" s="1356"/>
    </row>
    <row r="128" spans="1:10" s="1357" customFormat="1" ht="15">
      <c r="A128" s="1777" t="s">
        <v>892</v>
      </c>
      <c r="B128" s="1816"/>
      <c r="C128" s="1817">
        <v>0</v>
      </c>
      <c r="D128" s="1817"/>
      <c r="E128" s="1817"/>
      <c r="F128" s="2228">
        <v>0</v>
      </c>
      <c r="G128" s="2228"/>
      <c r="H128" s="2228"/>
      <c r="I128" s="2229"/>
      <c r="J128" s="1356"/>
    </row>
    <row r="129" spans="1:10" s="1357" customFormat="1" ht="15">
      <c r="A129" s="1804" t="s">
        <v>893</v>
      </c>
      <c r="B129" s="1805"/>
      <c r="C129" s="1806">
        <f>C119+C125+C126+C127+C128</f>
        <v>46157720.14</v>
      </c>
      <c r="D129" s="1807"/>
      <c r="E129" s="1807"/>
      <c r="F129" s="2230">
        <f>F119+F125+F126+F127+F128</f>
        <v>3206569.7</v>
      </c>
      <c r="G129" s="2230"/>
      <c r="H129" s="2230"/>
      <c r="I129" s="2231"/>
      <c r="J129" s="1356"/>
    </row>
    <row r="130" spans="1:9" ht="15">
      <c r="A130" s="1808"/>
      <c r="B130" s="1809"/>
      <c r="C130" s="1809"/>
      <c r="D130" s="1809"/>
      <c r="E130" s="1809"/>
      <c r="F130" s="1809"/>
      <c r="G130" s="1809"/>
      <c r="H130" s="1809"/>
      <c r="I130" s="1810"/>
    </row>
    <row r="131" spans="1:9" ht="33.75" customHeight="1">
      <c r="A131" s="1811" t="s">
        <v>894</v>
      </c>
      <c r="B131" s="1812" t="s">
        <v>815</v>
      </c>
      <c r="C131" s="1812" t="s">
        <v>816</v>
      </c>
      <c r="D131" s="1812" t="s">
        <v>817</v>
      </c>
      <c r="E131" s="1812"/>
      <c r="F131" s="1310" t="s">
        <v>926</v>
      </c>
      <c r="G131" s="1761" t="s">
        <v>925</v>
      </c>
      <c r="H131" s="1761"/>
      <c r="I131" s="1764"/>
    </row>
    <row r="132" spans="1:9" ht="35.25" customHeight="1">
      <c r="A132" s="1811"/>
      <c r="B132" s="1812"/>
      <c r="C132" s="1812"/>
      <c r="D132" s="1812"/>
      <c r="E132" s="1813"/>
      <c r="F132" s="1298" t="s">
        <v>307</v>
      </c>
      <c r="G132" s="1814" t="s">
        <v>257</v>
      </c>
      <c r="H132" s="1815"/>
      <c r="I132" s="1815"/>
    </row>
    <row r="133" spans="1:10" s="1357" customFormat="1" ht="15">
      <c r="A133" s="1359" t="s">
        <v>895</v>
      </c>
      <c r="B133" s="1360">
        <f>B134+B135</f>
        <v>25520245.970000003</v>
      </c>
      <c r="C133" s="1360">
        <f>C134+C135</f>
        <v>835082.98</v>
      </c>
      <c r="D133" s="1802">
        <f>D134+D135</f>
        <v>0</v>
      </c>
      <c r="E133" s="1802"/>
      <c r="F133" s="1361">
        <f>F134+F135</f>
        <v>0</v>
      </c>
      <c r="G133" s="1803">
        <f>G134+G135</f>
        <v>0</v>
      </c>
      <c r="H133" s="1803"/>
      <c r="I133" s="1798"/>
      <c r="J133" s="1356"/>
    </row>
    <row r="134" spans="1:9" ht="14.25">
      <c r="A134" s="1319" t="s">
        <v>896</v>
      </c>
      <c r="B134" s="2218">
        <v>7656073.8</v>
      </c>
      <c r="C134" s="2218">
        <v>250524.9</v>
      </c>
      <c r="D134" s="2219"/>
      <c r="E134" s="2219"/>
      <c r="F134" s="2218"/>
      <c r="G134" s="2220"/>
      <c r="H134" s="2220"/>
      <c r="I134" s="2221"/>
    </row>
    <row r="135" spans="1:9" ht="14.25">
      <c r="A135" s="1319" t="s">
        <v>897</v>
      </c>
      <c r="B135" s="2218">
        <v>17864172.17</v>
      </c>
      <c r="C135" s="2218">
        <v>584558.08</v>
      </c>
      <c r="D135" s="2219"/>
      <c r="E135" s="2219"/>
      <c r="F135" s="2218"/>
      <c r="G135" s="2220"/>
      <c r="H135" s="2220"/>
      <c r="I135" s="2221"/>
    </row>
    <row r="136" spans="1:9" ht="14.25">
      <c r="A136" s="1319" t="s">
        <v>898</v>
      </c>
      <c r="B136" s="2218">
        <v>21037474.17</v>
      </c>
      <c r="C136" s="2218">
        <v>835082.98</v>
      </c>
      <c r="D136" s="2219"/>
      <c r="E136" s="2219"/>
      <c r="F136" s="2222"/>
      <c r="G136" s="2220"/>
      <c r="H136" s="2220"/>
      <c r="I136" s="2221"/>
    </row>
    <row r="137" spans="1:9" ht="15">
      <c r="A137" s="1359" t="s">
        <v>899</v>
      </c>
      <c r="B137" s="2218">
        <v>0</v>
      </c>
      <c r="C137" s="2218">
        <v>0</v>
      </c>
      <c r="D137" s="2219"/>
      <c r="E137" s="2219"/>
      <c r="F137" s="2218"/>
      <c r="G137" s="2220"/>
      <c r="H137" s="2220"/>
      <c r="I137" s="2221"/>
    </row>
    <row r="138" spans="1:9" ht="15">
      <c r="A138" s="1359" t="s">
        <v>900</v>
      </c>
      <c r="B138" s="2218">
        <v>0</v>
      </c>
      <c r="C138" s="2218">
        <v>0</v>
      </c>
      <c r="D138" s="2219"/>
      <c r="E138" s="2219"/>
      <c r="F138" s="2218"/>
      <c r="G138" s="2220"/>
      <c r="H138" s="2220"/>
      <c r="I138" s="2221"/>
    </row>
    <row r="139" spans="1:9" ht="15">
      <c r="A139" s="1359" t="s">
        <v>901</v>
      </c>
      <c r="B139" s="2218">
        <v>0</v>
      </c>
      <c r="C139" s="2218">
        <v>0</v>
      </c>
      <c r="D139" s="2219"/>
      <c r="E139" s="2219"/>
      <c r="F139" s="2218"/>
      <c r="G139" s="2220"/>
      <c r="H139" s="2220"/>
      <c r="I139" s="2221"/>
    </row>
    <row r="140" spans="1:10" s="1357" customFormat="1" ht="30">
      <c r="A140" s="1359" t="s">
        <v>902</v>
      </c>
      <c r="B140" s="2223">
        <f>B133+B136+B137+B138+B139</f>
        <v>46557720.14</v>
      </c>
      <c r="C140" s="2223">
        <f>C133+C136+C137+C138+C139</f>
        <v>1670165.96</v>
      </c>
      <c r="D140" s="2224">
        <f>D133+D136+D137+D138+D139</f>
        <v>0</v>
      </c>
      <c r="E140" s="2224"/>
      <c r="F140" s="2223">
        <f>F133+F136+F137+F138+F139</f>
        <v>0</v>
      </c>
      <c r="G140" s="2224">
        <f>G133+G136+G137+G138+G139</f>
        <v>0</v>
      </c>
      <c r="H140" s="2224"/>
      <c r="I140" s="2225"/>
      <c r="J140" s="1356"/>
    </row>
    <row r="141" spans="1:9" ht="60" customHeight="1">
      <c r="A141" s="1763" t="s">
        <v>903</v>
      </c>
      <c r="B141" s="1761" t="s">
        <v>815</v>
      </c>
      <c r="C141" s="1761" t="s">
        <v>816</v>
      </c>
      <c r="D141" s="1764" t="s">
        <v>817</v>
      </c>
      <c r="E141" s="1765"/>
      <c r="F141" s="1321" t="s">
        <v>927</v>
      </c>
      <c r="G141" s="1800" t="s">
        <v>952</v>
      </c>
      <c r="H141" s="1801"/>
      <c r="I141" s="1801"/>
    </row>
    <row r="142" spans="1:9" ht="15">
      <c r="A142" s="1760"/>
      <c r="B142" s="1762"/>
      <c r="C142" s="1762"/>
      <c r="D142" s="1766"/>
      <c r="E142" s="1767"/>
      <c r="F142" s="1309" t="s">
        <v>307</v>
      </c>
      <c r="G142" s="1766" t="s">
        <v>257</v>
      </c>
      <c r="H142" s="1767"/>
      <c r="I142" s="1767"/>
    </row>
    <row r="143" spans="1:10" s="1357" customFormat="1" ht="15">
      <c r="A143" s="1359" t="s">
        <v>904</v>
      </c>
      <c r="B143" s="1360">
        <f>B67+B96+B140</f>
        <v>714699341.12</v>
      </c>
      <c r="C143" s="1360">
        <f>C67+C96+C140</f>
        <v>504026662.21</v>
      </c>
      <c r="D143" s="2232">
        <f>D67+D96+D140</f>
        <v>63184307.31999999</v>
      </c>
      <c r="E143" s="2233"/>
      <c r="F143" s="1361">
        <f>F67+F96+F140</f>
        <v>62829194.849999994</v>
      </c>
      <c r="G143" s="1798">
        <f>G67+G96+G140</f>
        <v>0</v>
      </c>
      <c r="H143" s="1799"/>
      <c r="I143" s="1799"/>
      <c r="J143" s="1356"/>
    </row>
    <row r="144" spans="1:9" ht="14.25">
      <c r="A144" s="1319" t="s">
        <v>905</v>
      </c>
      <c r="B144" s="1290">
        <f>B145+B146+B147+B148+B148</f>
        <v>0</v>
      </c>
      <c r="C144" s="1290"/>
      <c r="D144" s="1794"/>
      <c r="E144" s="1794"/>
      <c r="F144" s="1290"/>
      <c r="G144" s="1795"/>
      <c r="H144" s="1795"/>
      <c r="I144" s="1796"/>
    </row>
    <row r="145" spans="1:9" ht="14.25">
      <c r="A145" s="1319" t="s">
        <v>906</v>
      </c>
      <c r="B145" s="1290"/>
      <c r="C145" s="1290"/>
      <c r="D145" s="1794"/>
      <c r="E145" s="1794"/>
      <c r="F145" s="1290"/>
      <c r="G145" s="1795"/>
      <c r="H145" s="1795"/>
      <c r="I145" s="1796"/>
    </row>
    <row r="146" spans="1:9" ht="14.25">
      <c r="A146" s="1319" t="s">
        <v>907</v>
      </c>
      <c r="B146" s="1290"/>
      <c r="C146" s="1290"/>
      <c r="D146" s="1794"/>
      <c r="E146" s="1794"/>
      <c r="F146" s="1290"/>
      <c r="G146" s="1795"/>
      <c r="H146" s="1795"/>
      <c r="I146" s="1796"/>
    </row>
    <row r="147" spans="1:9" ht="14.25">
      <c r="A147" s="1319" t="s">
        <v>908</v>
      </c>
      <c r="B147" s="1290"/>
      <c r="C147" s="1290"/>
      <c r="D147" s="1794"/>
      <c r="E147" s="1794"/>
      <c r="F147" s="1290"/>
      <c r="G147" s="1795"/>
      <c r="H147" s="1795"/>
      <c r="I147" s="1796"/>
    </row>
    <row r="148" spans="1:9" ht="14.25">
      <c r="A148" s="1319" t="s">
        <v>909</v>
      </c>
      <c r="B148" s="1290"/>
      <c r="C148" s="1290"/>
      <c r="D148" s="1794"/>
      <c r="E148" s="1794"/>
      <c r="F148" s="1290"/>
      <c r="G148" s="1795"/>
      <c r="H148" s="1795"/>
      <c r="I148" s="1796"/>
    </row>
    <row r="149" spans="1:9" ht="14.25">
      <c r="A149" s="1319" t="s">
        <v>910</v>
      </c>
      <c r="B149" s="1290">
        <f>B150+B151</f>
        <v>0</v>
      </c>
      <c r="C149" s="1290"/>
      <c r="D149" s="1794"/>
      <c r="E149" s="1794"/>
      <c r="F149" s="1290"/>
      <c r="G149" s="1795"/>
      <c r="H149" s="1795"/>
      <c r="I149" s="1796"/>
    </row>
    <row r="150" spans="1:9" ht="14.25">
      <c r="A150" s="1319" t="s">
        <v>911</v>
      </c>
      <c r="B150" s="1290"/>
      <c r="C150" s="1290"/>
      <c r="D150" s="1794"/>
      <c r="E150" s="1794"/>
      <c r="F150" s="1290"/>
      <c r="G150" s="1795"/>
      <c r="H150" s="1795"/>
      <c r="I150" s="1796"/>
    </row>
    <row r="151" spans="1:9" ht="14.25">
      <c r="A151" s="1346" t="s">
        <v>912</v>
      </c>
      <c r="B151" s="1304"/>
      <c r="C151" s="1304"/>
      <c r="D151" s="1797"/>
      <c r="E151" s="1797"/>
      <c r="F151" s="1304"/>
      <c r="G151" s="1795"/>
      <c r="H151" s="1795"/>
      <c r="I151" s="1796"/>
    </row>
    <row r="152" spans="1:9" ht="14.25">
      <c r="A152" s="1305"/>
      <c r="B152" s="1306"/>
      <c r="C152" s="1306"/>
      <c r="D152" s="1307"/>
      <c r="E152" s="1307"/>
      <c r="F152" s="1306"/>
      <c r="G152" s="1308"/>
      <c r="H152" s="1308"/>
      <c r="I152" s="1308"/>
    </row>
    <row r="153" spans="1:9" ht="15">
      <c r="A153" s="1787" t="s">
        <v>913</v>
      </c>
      <c r="B153" s="1788"/>
      <c r="C153" s="1789" t="s">
        <v>343</v>
      </c>
      <c r="D153" s="1789"/>
      <c r="E153" s="1789"/>
      <c r="F153" s="1789" t="s">
        <v>344</v>
      </c>
      <c r="G153" s="1789"/>
      <c r="H153" s="1789"/>
      <c r="I153" s="1790"/>
    </row>
    <row r="154" spans="1:10" s="1357" customFormat="1" ht="15">
      <c r="A154" s="1791" t="s">
        <v>956</v>
      </c>
      <c r="B154" s="1792"/>
      <c r="C154" s="1784">
        <v>70744532.77</v>
      </c>
      <c r="D154" s="1785"/>
      <c r="E154" s="1793"/>
      <c r="F154" s="1778">
        <v>3737749.41</v>
      </c>
      <c r="G154" s="1779"/>
      <c r="H154" s="1779"/>
      <c r="I154" s="1779"/>
      <c r="J154" s="1356"/>
    </row>
    <row r="155" spans="1:9" ht="14.25">
      <c r="A155" s="1769" t="s">
        <v>502</v>
      </c>
      <c r="B155" s="1770"/>
      <c r="C155" s="1782">
        <v>105411474.69</v>
      </c>
      <c r="D155" s="1783"/>
      <c r="E155" s="1786"/>
      <c r="F155" s="1782">
        <v>943300.1</v>
      </c>
      <c r="G155" s="1783"/>
      <c r="H155" s="1783"/>
      <c r="I155" s="1783"/>
    </row>
    <row r="156" spans="1:9" ht="14.25">
      <c r="A156" s="1769" t="s">
        <v>503</v>
      </c>
      <c r="B156" s="1770"/>
      <c r="C156" s="1774">
        <f>C157+C158</f>
        <v>47687546.24</v>
      </c>
      <c r="D156" s="1775"/>
      <c r="E156" s="1781"/>
      <c r="F156" s="1774">
        <f>F157+F158</f>
        <v>0</v>
      </c>
      <c r="G156" s="1775"/>
      <c r="H156" s="1775"/>
      <c r="I156" s="1775"/>
    </row>
    <row r="157" spans="1:9" ht="14.25">
      <c r="A157" s="1769" t="s">
        <v>504</v>
      </c>
      <c r="B157" s="1770"/>
      <c r="C157" s="1774">
        <v>47687546.24</v>
      </c>
      <c r="D157" s="1775"/>
      <c r="E157" s="1781"/>
      <c r="F157" s="1782">
        <v>0</v>
      </c>
      <c r="G157" s="1783"/>
      <c r="H157" s="1783"/>
      <c r="I157" s="1783"/>
    </row>
    <row r="158" spans="1:9" ht="14.25">
      <c r="A158" s="1769" t="s">
        <v>505</v>
      </c>
      <c r="B158" s="1770"/>
      <c r="C158" s="1774">
        <v>0</v>
      </c>
      <c r="D158" s="1775"/>
      <c r="E158" s="1781"/>
      <c r="F158" s="1782">
        <v>0</v>
      </c>
      <c r="G158" s="1783"/>
      <c r="H158" s="1783"/>
      <c r="I158" s="1783"/>
    </row>
    <row r="159" spans="1:9" ht="14.25">
      <c r="A159" s="1769" t="s">
        <v>506</v>
      </c>
      <c r="B159" s="1770"/>
      <c r="C159" s="1774">
        <v>15924.93</v>
      </c>
      <c r="D159" s="1775"/>
      <c r="E159" s="1781"/>
      <c r="F159" s="1782">
        <v>701.26</v>
      </c>
      <c r="G159" s="1783"/>
      <c r="H159" s="1783"/>
      <c r="I159" s="1783"/>
    </row>
    <row r="160" spans="1:10" s="1357" customFormat="1" ht="15">
      <c r="A160" s="1776" t="s">
        <v>507</v>
      </c>
      <c r="B160" s="1777"/>
      <c r="C160" s="1778">
        <f>C154+C155-C156+C159</f>
        <v>128484386.14999998</v>
      </c>
      <c r="D160" s="1779"/>
      <c r="E160" s="1780"/>
      <c r="F160" s="1784">
        <f>F154+F155-F156+F159</f>
        <v>4681750.77</v>
      </c>
      <c r="G160" s="1785"/>
      <c r="H160" s="1785"/>
      <c r="I160" s="1785"/>
      <c r="J160" s="1356"/>
    </row>
    <row r="161" spans="1:9" ht="14.25">
      <c r="A161" s="1769" t="s">
        <v>508</v>
      </c>
      <c r="B161" s="1770"/>
      <c r="C161" s="1774">
        <f>C162-E163+E164+E165</f>
        <v>649948.08</v>
      </c>
      <c r="D161" s="1775"/>
      <c r="E161" s="1781"/>
      <c r="F161" s="1774">
        <f>G162-G163+G164+G165</f>
        <v>0</v>
      </c>
      <c r="G161" s="1775"/>
      <c r="H161" s="1775"/>
      <c r="I161" s="1775"/>
    </row>
    <row r="162" spans="1:9" ht="14.25">
      <c r="A162" s="1769" t="s">
        <v>509</v>
      </c>
      <c r="B162" s="1770"/>
      <c r="C162" s="1774">
        <v>649948.08</v>
      </c>
      <c r="D162" s="1775"/>
      <c r="E162" s="1781"/>
      <c r="F162" s="1774"/>
      <c r="G162" s="1775"/>
      <c r="H162" s="1775"/>
      <c r="I162" s="1775"/>
    </row>
    <row r="163" spans="1:9" ht="14.25">
      <c r="A163" s="1769" t="s">
        <v>510</v>
      </c>
      <c r="B163" s="1770"/>
      <c r="C163" s="1771"/>
      <c r="D163" s="1772"/>
      <c r="E163" s="1773"/>
      <c r="F163" s="1774"/>
      <c r="G163" s="1775"/>
      <c r="H163" s="1775"/>
      <c r="I163" s="1775"/>
    </row>
    <row r="164" spans="1:9" ht="14.25">
      <c r="A164" s="1769" t="s">
        <v>511</v>
      </c>
      <c r="B164" s="1770"/>
      <c r="C164" s="1771"/>
      <c r="D164" s="1772"/>
      <c r="E164" s="1773"/>
      <c r="F164" s="1774"/>
      <c r="G164" s="1775"/>
      <c r="H164" s="1775"/>
      <c r="I164" s="1775"/>
    </row>
    <row r="165" spans="1:9" ht="14.25">
      <c r="A165" s="1769" t="s">
        <v>512</v>
      </c>
      <c r="B165" s="1770"/>
      <c r="C165" s="1771"/>
      <c r="D165" s="1772"/>
      <c r="E165" s="1773"/>
      <c r="F165" s="1774"/>
      <c r="G165" s="1775"/>
      <c r="H165" s="1775"/>
      <c r="I165" s="1775"/>
    </row>
    <row r="166" spans="1:10" s="1357" customFormat="1" ht="15">
      <c r="A166" s="1776" t="s">
        <v>513</v>
      </c>
      <c r="B166" s="1777"/>
      <c r="C166" s="1778">
        <f>C160+C161</f>
        <v>129134334.22999997</v>
      </c>
      <c r="D166" s="1779"/>
      <c r="E166" s="1780"/>
      <c r="F166" s="1778">
        <f>F160+F161</f>
        <v>4681750.77</v>
      </c>
      <c r="G166" s="1779"/>
      <c r="H166" s="1779"/>
      <c r="I166" s="1779"/>
      <c r="J166" s="1356"/>
    </row>
    <row r="167" spans="1:9" ht="15.75">
      <c r="A167" s="1260" t="str">
        <f>'[12]Anexo III _ RCL'!A35</f>
        <v>FONTE: SECRETARIA MUNICIPAL DA FAZENDA</v>
      </c>
      <c r="B167" s="1261"/>
      <c r="C167" s="1269"/>
      <c r="D167" s="1269"/>
      <c r="E167" s="711"/>
      <c r="F167" s="711"/>
      <c r="G167" s="1768"/>
      <c r="H167" s="1768"/>
      <c r="I167" s="1291"/>
    </row>
    <row r="168" spans="1:9" ht="15">
      <c r="A168" s="1260" t="str">
        <f>'Anexo 1 _ BAL ORC'!A99</f>
        <v>  São Luís, 24 de março de 2021</v>
      </c>
      <c r="B168" s="1292"/>
      <c r="C168" s="1292"/>
      <c r="D168" s="1292"/>
      <c r="E168" s="1292"/>
      <c r="F168" s="1292"/>
      <c r="G168" s="1293"/>
      <c r="H168" s="1294"/>
      <c r="I168" s="1291"/>
    </row>
    <row r="169" spans="1:9" ht="15.75">
      <c r="A169" s="1264"/>
      <c r="B169" s="1295"/>
      <c r="C169" s="1295"/>
      <c r="D169" s="1295"/>
      <c r="E169" s="1295"/>
      <c r="F169" s="1295"/>
      <c r="G169" s="712"/>
      <c r="H169" s="712"/>
      <c r="I169" s="1291"/>
    </row>
    <row r="170" spans="1:9" ht="15">
      <c r="A170" s="1296"/>
      <c r="B170" s="1267"/>
      <c r="C170" s="1292"/>
      <c r="D170" s="1267"/>
      <c r="E170" s="1267"/>
      <c r="F170" s="1267"/>
      <c r="G170" s="1267"/>
      <c r="H170" s="1267"/>
      <c r="I170" s="1291"/>
    </row>
    <row r="171" spans="1:9" ht="15">
      <c r="A171" s="1296"/>
      <c r="B171" s="1267"/>
      <c r="C171" s="1292"/>
      <c r="D171" s="1267"/>
      <c r="E171" s="1267"/>
      <c r="F171" s="1267"/>
      <c r="G171" s="1267"/>
      <c r="H171" s="1267"/>
      <c r="I171" s="1291"/>
    </row>
    <row r="172" spans="1:9" ht="15">
      <c r="A172" s="1297"/>
      <c r="B172" s="1267"/>
      <c r="C172" s="1292"/>
      <c r="D172" s="1267"/>
      <c r="E172" s="1267"/>
      <c r="F172" s="1267"/>
      <c r="G172" s="1267"/>
      <c r="H172" s="1267"/>
      <c r="I172" s="1291"/>
    </row>
    <row r="173" spans="1:9" ht="15.75">
      <c r="A173" s="1269"/>
      <c r="B173" s="1267"/>
      <c r="C173" s="1267"/>
      <c r="D173" s="1267"/>
      <c r="E173" s="1267"/>
      <c r="F173" s="1267"/>
      <c r="G173" s="1291"/>
      <c r="H173" s="1291"/>
      <c r="I173" s="1291"/>
    </row>
    <row r="174" spans="1:9" ht="15">
      <c r="A174" s="1291"/>
      <c r="B174" s="1291"/>
      <c r="C174" s="1291"/>
      <c r="D174" s="1291"/>
      <c r="E174" s="1291"/>
      <c r="F174" s="1291"/>
      <c r="G174" s="1291"/>
      <c r="H174" s="1291"/>
      <c r="I174" s="1291"/>
    </row>
    <row r="175" spans="1:9" ht="15">
      <c r="A175" s="1291"/>
      <c r="B175" s="1291"/>
      <c r="C175" s="1291"/>
      <c r="D175" s="1291"/>
      <c r="E175" s="1291"/>
      <c r="F175" s="1291"/>
      <c r="G175" s="1291"/>
      <c r="H175" s="1291"/>
      <c r="I175" s="1291"/>
    </row>
    <row r="176" spans="1:9" ht="15">
      <c r="A176" s="1291"/>
      <c r="B176" s="1291"/>
      <c r="C176" s="1291"/>
      <c r="D176" s="1291"/>
      <c r="E176" s="1291"/>
      <c r="F176" s="1291"/>
      <c r="G176" s="1291"/>
      <c r="H176" s="1291"/>
      <c r="I176" s="1291"/>
    </row>
    <row r="177" spans="1:9" ht="15">
      <c r="A177" s="1291"/>
      <c r="B177" s="1291"/>
      <c r="C177" s="1291"/>
      <c r="D177" s="1291"/>
      <c r="E177" s="1291"/>
      <c r="F177" s="1291"/>
      <c r="G177" s="1291"/>
      <c r="H177" s="1291"/>
      <c r="I177" s="1291"/>
    </row>
    <row r="178" spans="1:9" ht="15">
      <c r="A178" s="1291"/>
      <c r="B178" s="1291"/>
      <c r="C178" s="1291"/>
      <c r="D178" s="1291"/>
      <c r="E178" s="1291"/>
      <c r="F178" s="1291"/>
      <c r="G178" s="1291"/>
      <c r="H178" s="1291"/>
      <c r="I178" s="1291"/>
    </row>
    <row r="179" spans="1:9" ht="15">
      <c r="A179" s="1291"/>
      <c r="B179" s="1291"/>
      <c r="C179" s="1291"/>
      <c r="D179" s="1291"/>
      <c r="E179" s="1291"/>
      <c r="F179" s="1291"/>
      <c r="G179" s="1291"/>
      <c r="H179" s="1291"/>
      <c r="I179" s="1291"/>
    </row>
    <row r="180" spans="1:9" ht="15">
      <c r="A180" s="1291"/>
      <c r="B180" s="1291"/>
      <c r="C180" s="1291"/>
      <c r="D180" s="1291"/>
      <c r="E180" s="1291"/>
      <c r="F180" s="1291"/>
      <c r="G180" s="1291"/>
      <c r="H180" s="1291"/>
      <c r="I180" s="1291"/>
    </row>
    <row r="181" spans="1:9" ht="15">
      <c r="A181" s="1291"/>
      <c r="B181" s="1291"/>
      <c r="C181" s="1291"/>
      <c r="D181" s="1291"/>
      <c r="E181" s="1291"/>
      <c r="F181" s="1291"/>
      <c r="G181" s="1291"/>
      <c r="H181" s="1291"/>
      <c r="I181" s="1291"/>
    </row>
    <row r="184" ht="12.75" hidden="1"/>
  </sheetData>
  <sheetProtection/>
  <mergeCells count="347">
    <mergeCell ref="A1:G1"/>
    <mergeCell ref="A2:G2"/>
    <mergeCell ref="A5:B5"/>
    <mergeCell ref="A6:G6"/>
    <mergeCell ref="A8:I8"/>
    <mergeCell ref="A9:A11"/>
    <mergeCell ref="B9:C10"/>
    <mergeCell ref="D9:I9"/>
    <mergeCell ref="D10:I10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25:C25"/>
    <mergeCell ref="D25:I25"/>
    <mergeCell ref="B26:C26"/>
    <mergeCell ref="D26:I26"/>
    <mergeCell ref="B27:C27"/>
    <mergeCell ref="D27:I27"/>
    <mergeCell ref="A28:I28"/>
    <mergeCell ref="B29:C29"/>
    <mergeCell ref="D29:I29"/>
    <mergeCell ref="A30:I30"/>
    <mergeCell ref="B31:C31"/>
    <mergeCell ref="D31:I31"/>
    <mergeCell ref="A32:I32"/>
    <mergeCell ref="A33:I33"/>
    <mergeCell ref="A34:A36"/>
    <mergeCell ref="B34:C35"/>
    <mergeCell ref="D34:I34"/>
    <mergeCell ref="D35:I35"/>
    <mergeCell ref="B36:C36"/>
    <mergeCell ref="D36:I36"/>
    <mergeCell ref="B37:C37"/>
    <mergeCell ref="D37:I37"/>
    <mergeCell ref="B38:C38"/>
    <mergeCell ref="D38:I38"/>
    <mergeCell ref="B39:C39"/>
    <mergeCell ref="D39:I39"/>
    <mergeCell ref="B40:C40"/>
    <mergeCell ref="D40:I40"/>
    <mergeCell ref="B41:C41"/>
    <mergeCell ref="D41:I41"/>
    <mergeCell ref="B42:C42"/>
    <mergeCell ref="D42:I42"/>
    <mergeCell ref="B43:C43"/>
    <mergeCell ref="D43:I43"/>
    <mergeCell ref="B44:C44"/>
    <mergeCell ref="D44:I44"/>
    <mergeCell ref="B45:C45"/>
    <mergeCell ref="D45:I45"/>
    <mergeCell ref="B46:C46"/>
    <mergeCell ref="D46:I46"/>
    <mergeCell ref="B47:C47"/>
    <mergeCell ref="D47:I47"/>
    <mergeCell ref="B48:I48"/>
    <mergeCell ref="B49:I49"/>
    <mergeCell ref="B50:I50"/>
    <mergeCell ref="B51:I51"/>
    <mergeCell ref="B53:I53"/>
    <mergeCell ref="A54:I54"/>
    <mergeCell ref="A55:A56"/>
    <mergeCell ref="B55:B56"/>
    <mergeCell ref="C55:C56"/>
    <mergeCell ref="D55:E56"/>
    <mergeCell ref="B52:I52"/>
    <mergeCell ref="G55:I55"/>
    <mergeCell ref="G56:I56"/>
    <mergeCell ref="D57:E57"/>
    <mergeCell ref="G57:I57"/>
    <mergeCell ref="D58:E58"/>
    <mergeCell ref="G58:I58"/>
    <mergeCell ref="D59:E59"/>
    <mergeCell ref="G59:I59"/>
    <mergeCell ref="D60:E60"/>
    <mergeCell ref="G60:I60"/>
    <mergeCell ref="D61:E61"/>
    <mergeCell ref="G61:I61"/>
    <mergeCell ref="D62:E62"/>
    <mergeCell ref="G62:I62"/>
    <mergeCell ref="D63:E63"/>
    <mergeCell ref="G63:I63"/>
    <mergeCell ref="D64:E64"/>
    <mergeCell ref="G64:I64"/>
    <mergeCell ref="D65:E65"/>
    <mergeCell ref="G65:I65"/>
    <mergeCell ref="D66:E66"/>
    <mergeCell ref="G66:I66"/>
    <mergeCell ref="D67:E67"/>
    <mergeCell ref="G67:I67"/>
    <mergeCell ref="A69:I69"/>
    <mergeCell ref="D70:E70"/>
    <mergeCell ref="G70:I70"/>
    <mergeCell ref="D71:E71"/>
    <mergeCell ref="G71:I71"/>
    <mergeCell ref="D72:E72"/>
    <mergeCell ref="G72:I72"/>
    <mergeCell ref="D73:E73"/>
    <mergeCell ref="G73:I73"/>
    <mergeCell ref="D74:E74"/>
    <mergeCell ref="G74:I74"/>
    <mergeCell ref="D75:E75"/>
    <mergeCell ref="G75:I75"/>
    <mergeCell ref="D76:E76"/>
    <mergeCell ref="G76:I76"/>
    <mergeCell ref="A77:A78"/>
    <mergeCell ref="B77:C78"/>
    <mergeCell ref="D77:E77"/>
    <mergeCell ref="F77:F78"/>
    <mergeCell ref="G77:I78"/>
    <mergeCell ref="D78:E78"/>
    <mergeCell ref="B79:C79"/>
    <mergeCell ref="D79:E79"/>
    <mergeCell ref="G79:I79"/>
    <mergeCell ref="B80:C80"/>
    <mergeCell ref="D80:E80"/>
    <mergeCell ref="G80:I80"/>
    <mergeCell ref="B81:C81"/>
    <mergeCell ref="D81:E81"/>
    <mergeCell ref="G81:I81"/>
    <mergeCell ref="B82:C82"/>
    <mergeCell ref="D82:E82"/>
    <mergeCell ref="G82:I82"/>
    <mergeCell ref="B83:C83"/>
    <mergeCell ref="D83:E83"/>
    <mergeCell ref="G83:I83"/>
    <mergeCell ref="D84:E84"/>
    <mergeCell ref="G84:H84"/>
    <mergeCell ref="D85:E85"/>
    <mergeCell ref="G85:H85"/>
    <mergeCell ref="D86:E86"/>
    <mergeCell ref="G86:H86"/>
    <mergeCell ref="D87:E87"/>
    <mergeCell ref="G87:H87"/>
    <mergeCell ref="A89:I89"/>
    <mergeCell ref="G90:I90"/>
    <mergeCell ref="B90:B91"/>
    <mergeCell ref="C90:C91"/>
    <mergeCell ref="D90:E91"/>
    <mergeCell ref="G91:I91"/>
    <mergeCell ref="D92:E92"/>
    <mergeCell ref="G92:I92"/>
    <mergeCell ref="D93:E93"/>
    <mergeCell ref="G93:I93"/>
    <mergeCell ref="D94:E94"/>
    <mergeCell ref="G94:I94"/>
    <mergeCell ref="D95:E95"/>
    <mergeCell ref="G95:I95"/>
    <mergeCell ref="D96:E96"/>
    <mergeCell ref="G96:I96"/>
    <mergeCell ref="A98:F98"/>
    <mergeCell ref="G98:I98"/>
    <mergeCell ref="A99:F99"/>
    <mergeCell ref="G99:I99"/>
    <mergeCell ref="A100:F100"/>
    <mergeCell ref="G100:I100"/>
    <mergeCell ref="A101:F101"/>
    <mergeCell ref="G101:I101"/>
    <mergeCell ref="A102:F102"/>
    <mergeCell ref="G102:I102"/>
    <mergeCell ref="A103:F103"/>
    <mergeCell ref="G103:I103"/>
    <mergeCell ref="A104:F104"/>
    <mergeCell ref="G104:I104"/>
    <mergeCell ref="A106:B106"/>
    <mergeCell ref="C106:E106"/>
    <mergeCell ref="F106:G106"/>
    <mergeCell ref="H106:I106"/>
    <mergeCell ref="A107:B107"/>
    <mergeCell ref="C107:E107"/>
    <mergeCell ref="F107:G107"/>
    <mergeCell ref="H107:I107"/>
    <mergeCell ref="A108:B108"/>
    <mergeCell ref="C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A114:I114"/>
    <mergeCell ref="A115:I115"/>
    <mergeCell ref="A116:B118"/>
    <mergeCell ref="C116:E117"/>
    <mergeCell ref="F116:I116"/>
    <mergeCell ref="F117:I117"/>
    <mergeCell ref="C118:E118"/>
    <mergeCell ref="F118:I118"/>
    <mergeCell ref="A119:B119"/>
    <mergeCell ref="C119:E119"/>
    <mergeCell ref="F119:I119"/>
    <mergeCell ref="A120:B120"/>
    <mergeCell ref="C120:E120"/>
    <mergeCell ref="F120:I120"/>
    <mergeCell ref="A121:B121"/>
    <mergeCell ref="C121:E121"/>
    <mergeCell ref="F121:I121"/>
    <mergeCell ref="A122:B122"/>
    <mergeCell ref="C122:E122"/>
    <mergeCell ref="F122:I122"/>
    <mergeCell ref="A123:B123"/>
    <mergeCell ref="C123:E123"/>
    <mergeCell ref="F123:I123"/>
    <mergeCell ref="A124:B124"/>
    <mergeCell ref="C124:E124"/>
    <mergeCell ref="F124:I124"/>
    <mergeCell ref="A125:B125"/>
    <mergeCell ref="C125:E125"/>
    <mergeCell ref="F125:I125"/>
    <mergeCell ref="A126:B126"/>
    <mergeCell ref="C126:E126"/>
    <mergeCell ref="F126:I126"/>
    <mergeCell ref="A127:B127"/>
    <mergeCell ref="C127:E127"/>
    <mergeCell ref="F127:I127"/>
    <mergeCell ref="A128:B128"/>
    <mergeCell ref="C128:E128"/>
    <mergeCell ref="F128:I128"/>
    <mergeCell ref="A129:B129"/>
    <mergeCell ref="C129:E129"/>
    <mergeCell ref="F129:I129"/>
    <mergeCell ref="A130:I130"/>
    <mergeCell ref="A131:A132"/>
    <mergeCell ref="B131:B132"/>
    <mergeCell ref="C131:C132"/>
    <mergeCell ref="D131:E132"/>
    <mergeCell ref="G131:I131"/>
    <mergeCell ref="G132:I132"/>
    <mergeCell ref="D133:E133"/>
    <mergeCell ref="G133:I133"/>
    <mergeCell ref="D134:E134"/>
    <mergeCell ref="G134:I134"/>
    <mergeCell ref="D135:E135"/>
    <mergeCell ref="G135:I135"/>
    <mergeCell ref="G141:I141"/>
    <mergeCell ref="D136:E136"/>
    <mergeCell ref="G136:I136"/>
    <mergeCell ref="D137:E137"/>
    <mergeCell ref="G137:I137"/>
    <mergeCell ref="D138:E138"/>
    <mergeCell ref="G138:I138"/>
    <mergeCell ref="D143:E143"/>
    <mergeCell ref="G143:I143"/>
    <mergeCell ref="D144:E144"/>
    <mergeCell ref="G144:I144"/>
    <mergeCell ref="D145:E145"/>
    <mergeCell ref="G145:I145"/>
    <mergeCell ref="D146:E146"/>
    <mergeCell ref="G146:I146"/>
    <mergeCell ref="D147:E147"/>
    <mergeCell ref="G147:I147"/>
    <mergeCell ref="D148:E148"/>
    <mergeCell ref="G148:I148"/>
    <mergeCell ref="D149:E149"/>
    <mergeCell ref="G149:I149"/>
    <mergeCell ref="D150:E150"/>
    <mergeCell ref="G150:I150"/>
    <mergeCell ref="D151:E151"/>
    <mergeCell ref="G151:I151"/>
    <mergeCell ref="A153:B153"/>
    <mergeCell ref="C153:E153"/>
    <mergeCell ref="F153:I153"/>
    <mergeCell ref="A154:B154"/>
    <mergeCell ref="C154:E154"/>
    <mergeCell ref="F154:I154"/>
    <mergeCell ref="A155:B155"/>
    <mergeCell ref="C155:E155"/>
    <mergeCell ref="F155:I155"/>
    <mergeCell ref="A156:B156"/>
    <mergeCell ref="C156:E156"/>
    <mergeCell ref="F156:I156"/>
    <mergeCell ref="A157:B157"/>
    <mergeCell ref="C157:E157"/>
    <mergeCell ref="F157:I157"/>
    <mergeCell ref="A158:B158"/>
    <mergeCell ref="C158:E158"/>
    <mergeCell ref="F158:I158"/>
    <mergeCell ref="A159:B159"/>
    <mergeCell ref="C159:E159"/>
    <mergeCell ref="F159:I159"/>
    <mergeCell ref="A160:B160"/>
    <mergeCell ref="C160:E160"/>
    <mergeCell ref="F160:I160"/>
    <mergeCell ref="A161:B161"/>
    <mergeCell ref="C161:E161"/>
    <mergeCell ref="F161:I161"/>
    <mergeCell ref="A162:B162"/>
    <mergeCell ref="C162:E162"/>
    <mergeCell ref="F162:I162"/>
    <mergeCell ref="A163:B163"/>
    <mergeCell ref="C163:E163"/>
    <mergeCell ref="F163:I163"/>
    <mergeCell ref="A164:B164"/>
    <mergeCell ref="C164:E164"/>
    <mergeCell ref="F164:I164"/>
    <mergeCell ref="G167:H167"/>
    <mergeCell ref="A165:B165"/>
    <mergeCell ref="C165:E165"/>
    <mergeCell ref="F165:I165"/>
    <mergeCell ref="A166:B166"/>
    <mergeCell ref="C166:E166"/>
    <mergeCell ref="F166:I166"/>
    <mergeCell ref="A90:A91"/>
    <mergeCell ref="B141:B142"/>
    <mergeCell ref="C141:C142"/>
    <mergeCell ref="A141:A142"/>
    <mergeCell ref="D141:E142"/>
    <mergeCell ref="G142:I142"/>
    <mergeCell ref="D139:E139"/>
    <mergeCell ref="G139:I139"/>
    <mergeCell ref="D140:E140"/>
    <mergeCell ref="G140:I14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3" r:id="rId2"/>
  <headerFooter>
    <oddFooter>&amp;LPublicação: Diário Oficial do Município nº 58
Data: 24.03.2021&amp;R&amp;P / &amp;N</oddFooter>
  </headerFooter>
  <rowBreaks count="3" manualBreakCount="3">
    <brk id="54" max="8" man="1"/>
    <brk id="88" max="8" man="1"/>
    <brk id="130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M180"/>
  <sheetViews>
    <sheetView showGridLines="0" view="pageBreakPreview" zoomScaleSheetLayoutView="100" zoomScalePageLayoutView="0" workbookViewId="0" topLeftCell="A142">
      <selection activeCell="L157" sqref="L157"/>
    </sheetView>
  </sheetViews>
  <sheetFormatPr defaultColWidth="8.8515625" defaultRowHeight="12.75"/>
  <cols>
    <col min="1" max="1" width="8.8515625" style="351" customWidth="1"/>
    <col min="2" max="2" width="60.57421875" style="250" customWidth="1"/>
    <col min="3" max="3" width="21.28125" style="250" customWidth="1"/>
    <col min="4" max="4" width="18.28125" style="250" customWidth="1"/>
    <col min="5" max="5" width="16.7109375" style="250" customWidth="1"/>
    <col min="6" max="6" width="15.57421875" style="250" customWidth="1"/>
    <col min="7" max="8" width="15.28125" style="250" customWidth="1"/>
    <col min="9" max="9" width="14.28125" style="351" customWidth="1"/>
    <col min="10" max="10" width="16.421875" style="1007" customWidth="1"/>
    <col min="11" max="11" width="15.7109375" style="250" customWidth="1"/>
    <col min="12" max="13" width="21.57421875" style="250" customWidth="1"/>
    <col min="14" max="14" width="12.00390625" style="250" bestFit="1" customWidth="1"/>
    <col min="15" max="15" width="8.8515625" style="250" customWidth="1"/>
    <col min="16" max="17" width="14.57421875" style="250" bestFit="1" customWidth="1"/>
    <col min="18" max="18" width="12.00390625" style="250" bestFit="1" customWidth="1"/>
    <col min="19" max="19" width="11.140625" style="250" bestFit="1" customWidth="1"/>
    <col min="20" max="20" width="9.8515625" style="250" bestFit="1" customWidth="1"/>
    <col min="21" max="21" width="12.8515625" style="250" bestFit="1" customWidth="1"/>
    <col min="22" max="22" width="11.140625" style="250" bestFit="1" customWidth="1"/>
    <col min="23" max="23" width="12.8515625" style="250" bestFit="1" customWidth="1"/>
    <col min="24" max="24" width="12.00390625" style="250" bestFit="1" customWidth="1"/>
    <col min="25" max="25" width="13.57421875" style="250" bestFit="1" customWidth="1"/>
    <col min="26" max="26" width="11.7109375" style="250" bestFit="1" customWidth="1"/>
    <col min="27" max="16384" width="8.8515625" style="250" customWidth="1"/>
  </cols>
  <sheetData>
    <row r="1" spans="1:8" ht="16.5" customHeight="1">
      <c r="A1" s="1934" t="s">
        <v>281</v>
      </c>
      <c r="B1" s="1934"/>
      <c r="C1" s="1934"/>
      <c r="D1" s="1934"/>
      <c r="E1" s="1934"/>
      <c r="F1" s="1934"/>
      <c r="G1" s="1934"/>
      <c r="H1" s="502"/>
    </row>
    <row r="2" spans="1:8" ht="14.25" customHeight="1">
      <c r="A2" s="1934" t="s">
        <v>0</v>
      </c>
      <c r="B2" s="1934"/>
      <c r="C2" s="1934"/>
      <c r="D2" s="1934"/>
      <c r="E2" s="1934"/>
      <c r="F2" s="1934"/>
      <c r="G2" s="1934"/>
      <c r="H2" s="502"/>
    </row>
    <row r="3" spans="1:9" ht="15" customHeight="1">
      <c r="A3" s="922" t="s">
        <v>525</v>
      </c>
      <c r="B3" s="923"/>
      <c r="C3" s="923"/>
      <c r="D3" s="923"/>
      <c r="E3" s="923"/>
      <c r="F3" s="923"/>
      <c r="G3" s="922"/>
      <c r="H3" s="921"/>
      <c r="I3" s="346"/>
    </row>
    <row r="4" spans="1:8" ht="15" customHeight="1">
      <c r="A4" s="1934" t="s">
        <v>1</v>
      </c>
      <c r="B4" s="1934"/>
      <c r="C4" s="1934"/>
      <c r="D4" s="1934"/>
      <c r="E4" s="1934"/>
      <c r="F4" s="1934"/>
      <c r="G4" s="1934"/>
      <c r="H4" s="502"/>
    </row>
    <row r="5" spans="1:8" ht="13.5" customHeight="1">
      <c r="A5" s="1935" t="str">
        <f>'Anexo 1 _ BAL ORC'!A5</f>
        <v>            Referência: JANEIRO-FEVEREIRO/2021; BIMESTRE: JANEIRO-FEVEREIRO/2021</v>
      </c>
      <c r="B5" s="1935"/>
      <c r="C5" s="1935"/>
      <c r="D5" s="1935"/>
      <c r="E5" s="503"/>
      <c r="F5" s="503"/>
      <c r="G5" s="504"/>
      <c r="H5" s="505"/>
    </row>
    <row r="6" spans="1:9" ht="18" customHeight="1">
      <c r="A6" s="507" t="s">
        <v>250</v>
      </c>
      <c r="B6" s="506"/>
      <c r="C6" s="496"/>
      <c r="D6" s="506"/>
      <c r="E6" s="506"/>
      <c r="F6" s="506"/>
      <c r="G6" s="497"/>
      <c r="H6" s="508"/>
      <c r="I6" s="509"/>
    </row>
    <row r="7" spans="1:12" s="378" customFormat="1" ht="19.5" customHeight="1">
      <c r="A7" s="1936" t="s">
        <v>554</v>
      </c>
      <c r="B7" s="1937"/>
      <c r="C7" s="1938"/>
      <c r="D7" s="1945" t="s">
        <v>190</v>
      </c>
      <c r="E7" s="1945"/>
      <c r="F7" s="1946" t="s">
        <v>555</v>
      </c>
      <c r="G7" s="1946"/>
      <c r="H7" s="1945" t="s">
        <v>145</v>
      </c>
      <c r="I7" s="1945"/>
      <c r="J7" s="1945"/>
      <c r="K7" s="1945"/>
      <c r="L7" s="1945"/>
    </row>
    <row r="8" spans="1:12" s="378" customFormat="1" ht="16.5" customHeight="1">
      <c r="A8" s="1939"/>
      <c r="B8" s="1940"/>
      <c r="C8" s="1941"/>
      <c r="D8" s="1945"/>
      <c r="E8" s="1945"/>
      <c r="F8" s="1946"/>
      <c r="G8" s="1946"/>
      <c r="H8" s="1946" t="s">
        <v>958</v>
      </c>
      <c r="I8" s="1946"/>
      <c r="J8" s="1946"/>
      <c r="K8" s="1952" t="s">
        <v>556</v>
      </c>
      <c r="L8" s="1953"/>
    </row>
    <row r="9" spans="1:12" s="378" customFormat="1" ht="18.75" customHeight="1">
      <c r="A9" s="1942"/>
      <c r="B9" s="1943"/>
      <c r="C9" s="1944"/>
      <c r="D9" s="1945"/>
      <c r="E9" s="1945"/>
      <c r="F9" s="1946"/>
      <c r="G9" s="1946"/>
      <c r="H9" s="1946"/>
      <c r="I9" s="1946"/>
      <c r="J9" s="1946"/>
      <c r="K9" s="1953"/>
      <c r="L9" s="1953"/>
    </row>
    <row r="10" spans="1:12" s="498" customFormat="1" ht="18" customHeight="1">
      <c r="A10" s="1947" t="s">
        <v>550</v>
      </c>
      <c r="B10" s="1948"/>
      <c r="C10" s="1949"/>
      <c r="D10" s="1950">
        <f>D11+D14+D17+D20</f>
        <v>829342944.01</v>
      </c>
      <c r="E10" s="1951"/>
      <c r="F10" s="1950">
        <f>F11+F14+F17+F20</f>
        <v>829342944.01</v>
      </c>
      <c r="G10" s="1951"/>
      <c r="H10" s="1950">
        <f>H11+H14+H17+H20</f>
        <v>125167654.66999999</v>
      </c>
      <c r="I10" s="1954"/>
      <c r="J10" s="1951"/>
      <c r="K10" s="1955">
        <f>(H10/F10)*100</f>
        <v>15.09238796495877</v>
      </c>
      <c r="L10" s="1956"/>
    </row>
    <row r="11" spans="1:12" s="378" customFormat="1" ht="18" customHeight="1">
      <c r="A11" s="1947" t="s">
        <v>557</v>
      </c>
      <c r="B11" s="1948"/>
      <c r="C11" s="1949"/>
      <c r="D11" s="1950">
        <f>D12+D13</f>
        <v>145123959.01</v>
      </c>
      <c r="E11" s="1951"/>
      <c r="F11" s="1950">
        <f>F12+F13</f>
        <v>145123959.01</v>
      </c>
      <c r="G11" s="1951"/>
      <c r="H11" s="1950">
        <f>H12+H13</f>
        <v>6779245.55</v>
      </c>
      <c r="I11" s="1954"/>
      <c r="J11" s="1951"/>
      <c r="K11" s="1955">
        <f aca="true" t="shared" si="0" ref="K11:K20">(H11/F11)*100</f>
        <v>4.671348270985955</v>
      </c>
      <c r="L11" s="1956"/>
    </row>
    <row r="12" spans="1:12" s="378" customFormat="1" ht="18" customHeight="1">
      <c r="A12" s="1957" t="s">
        <v>551</v>
      </c>
      <c r="B12" s="1958"/>
      <c r="C12" s="1959"/>
      <c r="D12" s="1960">
        <v>135013146.73</v>
      </c>
      <c r="E12" s="1961"/>
      <c r="F12" s="1960">
        <f>D12</f>
        <v>135013146.73</v>
      </c>
      <c r="G12" s="1961"/>
      <c r="H12" s="1960">
        <v>4508280.68</v>
      </c>
      <c r="I12" s="1962"/>
      <c r="J12" s="1961"/>
      <c r="K12" s="1955">
        <f t="shared" si="0"/>
        <v>3.3391419940872002</v>
      </c>
      <c r="L12" s="1956"/>
    </row>
    <row r="13" spans="1:12" s="378" customFormat="1" ht="18" customHeight="1">
      <c r="A13" s="1957" t="s">
        <v>558</v>
      </c>
      <c r="B13" s="1958"/>
      <c r="C13" s="1959"/>
      <c r="D13" s="1960">
        <v>10110812.28</v>
      </c>
      <c r="E13" s="1961"/>
      <c r="F13" s="1960">
        <f>D13</f>
        <v>10110812.28</v>
      </c>
      <c r="G13" s="1961"/>
      <c r="H13" s="1960">
        <v>2270964.87</v>
      </c>
      <c r="I13" s="1962"/>
      <c r="J13" s="1961"/>
      <c r="K13" s="1955">
        <f t="shared" si="0"/>
        <v>22.460755942350463</v>
      </c>
      <c r="L13" s="1956"/>
    </row>
    <row r="14" spans="1:12" s="378" customFormat="1" ht="18" customHeight="1">
      <c r="A14" s="1947" t="s">
        <v>559</v>
      </c>
      <c r="B14" s="1948"/>
      <c r="C14" s="1949"/>
      <c r="D14" s="1950">
        <f>D15+D16</f>
        <v>29356119</v>
      </c>
      <c r="E14" s="1951"/>
      <c r="F14" s="1950">
        <f>F15+F16</f>
        <v>29356119</v>
      </c>
      <c r="G14" s="1951"/>
      <c r="H14" s="1950">
        <f>H15+H16</f>
        <v>5338397.89</v>
      </c>
      <c r="I14" s="1954"/>
      <c r="J14" s="1951"/>
      <c r="K14" s="1955">
        <f t="shared" si="0"/>
        <v>18.184957929895297</v>
      </c>
      <c r="L14" s="1956"/>
    </row>
    <row r="15" spans="1:12" s="378" customFormat="1" ht="18" customHeight="1">
      <c r="A15" s="1957" t="s">
        <v>552</v>
      </c>
      <c r="B15" s="1958"/>
      <c r="C15" s="1959"/>
      <c r="D15" s="1960">
        <v>29356119</v>
      </c>
      <c r="E15" s="1961"/>
      <c r="F15" s="1960">
        <f>D15</f>
        <v>29356119</v>
      </c>
      <c r="G15" s="1961"/>
      <c r="H15" s="1960">
        <v>5338397.89</v>
      </c>
      <c r="I15" s="1962"/>
      <c r="J15" s="1961"/>
      <c r="K15" s="1955">
        <f t="shared" si="0"/>
        <v>18.184957929895297</v>
      </c>
      <c r="L15" s="1956"/>
    </row>
    <row r="16" spans="1:12" s="378" customFormat="1" ht="18" customHeight="1">
      <c r="A16" s="1957" t="s">
        <v>560</v>
      </c>
      <c r="B16" s="1958"/>
      <c r="C16" s="1959"/>
      <c r="D16" s="1960">
        <v>0</v>
      </c>
      <c r="E16" s="1961"/>
      <c r="F16" s="1960">
        <v>0</v>
      </c>
      <c r="G16" s="1961"/>
      <c r="H16" s="1960">
        <v>0</v>
      </c>
      <c r="I16" s="1962"/>
      <c r="J16" s="1961"/>
      <c r="K16" s="1955"/>
      <c r="L16" s="1956"/>
    </row>
    <row r="17" spans="1:12" s="378" customFormat="1" ht="18" customHeight="1">
      <c r="A17" s="1947" t="s">
        <v>561</v>
      </c>
      <c r="B17" s="1948"/>
      <c r="C17" s="1949"/>
      <c r="D17" s="1950">
        <f>D18+D19</f>
        <v>558589872</v>
      </c>
      <c r="E17" s="1951"/>
      <c r="F17" s="1950">
        <f>F18+F19</f>
        <v>558589872</v>
      </c>
      <c r="G17" s="1951"/>
      <c r="H17" s="1950">
        <f>H18+H19</f>
        <v>94384368.02</v>
      </c>
      <c r="I17" s="1954"/>
      <c r="J17" s="1951"/>
      <c r="K17" s="1955">
        <f t="shared" si="0"/>
        <v>16.89689927281746</v>
      </c>
      <c r="L17" s="1956"/>
    </row>
    <row r="18" spans="1:12" s="378" customFormat="1" ht="18" customHeight="1">
      <c r="A18" s="1957" t="s">
        <v>553</v>
      </c>
      <c r="B18" s="1958"/>
      <c r="C18" s="1959"/>
      <c r="D18" s="1960">
        <v>551336183</v>
      </c>
      <c r="E18" s="1961"/>
      <c r="F18" s="1960">
        <f>D18</f>
        <v>551336183</v>
      </c>
      <c r="G18" s="1961"/>
      <c r="H18" s="1960">
        <v>86889001.17</v>
      </c>
      <c r="I18" s="1962"/>
      <c r="J18" s="1961"/>
      <c r="K18" s="1955">
        <f t="shared" si="0"/>
        <v>15.759713192993901</v>
      </c>
      <c r="L18" s="1956"/>
    </row>
    <row r="19" spans="1:12" s="378" customFormat="1" ht="18" customHeight="1">
      <c r="A19" s="1957" t="s">
        <v>562</v>
      </c>
      <c r="B19" s="1958"/>
      <c r="C19" s="1959"/>
      <c r="D19" s="1960">
        <v>7253689</v>
      </c>
      <c r="E19" s="1961"/>
      <c r="F19" s="1960">
        <f>D19</f>
        <v>7253689</v>
      </c>
      <c r="G19" s="1961"/>
      <c r="H19" s="1960">
        <v>7495366.85</v>
      </c>
      <c r="I19" s="1962"/>
      <c r="J19" s="1961"/>
      <c r="K19" s="1955">
        <f t="shared" si="0"/>
        <v>103.33179227838414</v>
      </c>
      <c r="L19" s="1956"/>
    </row>
    <row r="20" spans="1:12" s="378" customFormat="1" ht="18" customHeight="1">
      <c r="A20" s="1947" t="s">
        <v>756</v>
      </c>
      <c r="B20" s="1948"/>
      <c r="C20" s="1949"/>
      <c r="D20" s="1950">
        <v>96272994</v>
      </c>
      <c r="E20" s="1951"/>
      <c r="F20" s="1950">
        <f>D20</f>
        <v>96272994</v>
      </c>
      <c r="G20" s="1951"/>
      <c r="H20" s="1950">
        <v>18665643.21</v>
      </c>
      <c r="I20" s="1954"/>
      <c r="J20" s="1951"/>
      <c r="K20" s="1955">
        <f t="shared" si="0"/>
        <v>19.38824423596923</v>
      </c>
      <c r="L20" s="1956"/>
    </row>
    <row r="21" spans="1:12" s="378" customFormat="1" ht="18" customHeight="1">
      <c r="A21" s="1963"/>
      <c r="B21" s="1964"/>
      <c r="C21" s="1964"/>
      <c r="D21" s="1964"/>
      <c r="E21" s="1964"/>
      <c r="F21" s="1964"/>
      <c r="G21" s="1964"/>
      <c r="H21" s="1964"/>
      <c r="I21" s="1964"/>
      <c r="J21" s="1964"/>
      <c r="K21" s="1964"/>
      <c r="L21" s="1965"/>
    </row>
    <row r="22" spans="1:12" s="498" customFormat="1" ht="18" customHeight="1">
      <c r="A22" s="1947" t="s">
        <v>251</v>
      </c>
      <c r="B22" s="1948"/>
      <c r="C22" s="1949"/>
      <c r="D22" s="1950">
        <f>SUM(D23:D30)</f>
        <v>1269435552</v>
      </c>
      <c r="E22" s="1951"/>
      <c r="F22" s="1950">
        <f>SUM(F23:F30)</f>
        <v>1269435552</v>
      </c>
      <c r="G22" s="1951"/>
      <c r="H22" s="1950">
        <f>SUM(H23:H30)</f>
        <v>275584381.12</v>
      </c>
      <c r="I22" s="1954"/>
      <c r="J22" s="1951"/>
      <c r="K22" s="1955">
        <f aca="true" t="shared" si="1" ref="K22:K31">(H22/F22)*100</f>
        <v>21.70920616535561</v>
      </c>
      <c r="L22" s="1956"/>
    </row>
    <row r="23" spans="1:13" s="498" customFormat="1" ht="18" customHeight="1">
      <c r="A23" s="1957" t="s">
        <v>252</v>
      </c>
      <c r="B23" s="1958"/>
      <c r="C23" s="1959"/>
      <c r="D23" s="1960">
        <v>548515073</v>
      </c>
      <c r="E23" s="1961"/>
      <c r="F23" s="1960">
        <f>D23</f>
        <v>548515073</v>
      </c>
      <c r="G23" s="1961"/>
      <c r="H23" s="1960">
        <v>133089305.15</v>
      </c>
      <c r="I23" s="1962"/>
      <c r="J23" s="1961"/>
      <c r="K23" s="1955">
        <f t="shared" si="1"/>
        <v>24.263563883867967</v>
      </c>
      <c r="L23" s="1956"/>
      <c r="M23" s="1009"/>
    </row>
    <row r="24" spans="1:12" s="498" customFormat="1" ht="18" customHeight="1">
      <c r="A24" s="1957" t="s">
        <v>253</v>
      </c>
      <c r="B24" s="1958"/>
      <c r="C24" s="1959"/>
      <c r="D24" s="1960">
        <v>2240</v>
      </c>
      <c r="E24" s="1961"/>
      <c r="F24" s="1960">
        <f>D24</f>
        <v>2240</v>
      </c>
      <c r="G24" s="1961"/>
      <c r="H24" s="1960">
        <v>3050.14</v>
      </c>
      <c r="I24" s="1962"/>
      <c r="J24" s="1961"/>
      <c r="K24" s="1955">
        <f t="shared" si="1"/>
        <v>136.1669642857143</v>
      </c>
      <c r="L24" s="1956"/>
    </row>
    <row r="25" spans="1:12" s="498" customFormat="1" ht="18" customHeight="1">
      <c r="A25" s="1957" t="s">
        <v>254</v>
      </c>
      <c r="B25" s="1958"/>
      <c r="C25" s="1959"/>
      <c r="D25" s="1960">
        <v>82170170</v>
      </c>
      <c r="E25" s="1961"/>
      <c r="F25" s="1960">
        <f>D25</f>
        <v>82170170</v>
      </c>
      <c r="G25" s="1961"/>
      <c r="H25" s="1960">
        <v>17297849.91</v>
      </c>
      <c r="I25" s="1962"/>
      <c r="J25" s="1961"/>
      <c r="K25" s="1955">
        <f t="shared" si="1"/>
        <v>21.051252431387205</v>
      </c>
      <c r="L25" s="1956"/>
    </row>
    <row r="26" spans="1:12" s="498" customFormat="1" ht="18" customHeight="1">
      <c r="A26" s="1957" t="s">
        <v>255</v>
      </c>
      <c r="B26" s="1958"/>
      <c r="C26" s="1959"/>
      <c r="D26" s="1960">
        <v>632881299</v>
      </c>
      <c r="E26" s="1961"/>
      <c r="F26" s="1960">
        <f>D26</f>
        <v>632881299</v>
      </c>
      <c r="G26" s="1961"/>
      <c r="H26" s="1960">
        <v>123951913.65</v>
      </c>
      <c r="I26" s="1962"/>
      <c r="J26" s="1961"/>
      <c r="K26" s="1955">
        <f t="shared" si="1"/>
        <v>19.58533359191579</v>
      </c>
      <c r="L26" s="1956"/>
    </row>
    <row r="27" spans="1:12" s="498" customFormat="1" ht="18" customHeight="1">
      <c r="A27" s="1957" t="s">
        <v>563</v>
      </c>
      <c r="B27" s="1958"/>
      <c r="C27" s="1959"/>
      <c r="D27" s="1960">
        <v>5866770</v>
      </c>
      <c r="E27" s="1961"/>
      <c r="F27" s="1960">
        <f>D27</f>
        <v>5866770</v>
      </c>
      <c r="G27" s="1961"/>
      <c r="H27" s="1960">
        <v>1242262.27</v>
      </c>
      <c r="I27" s="1962"/>
      <c r="J27" s="1961"/>
      <c r="K27" s="1955">
        <f t="shared" si="1"/>
        <v>21.174552095957402</v>
      </c>
      <c r="L27" s="1956"/>
    </row>
    <row r="28" spans="1:12" s="498" customFormat="1" ht="18" customHeight="1">
      <c r="A28" s="1966" t="s">
        <v>564</v>
      </c>
      <c r="B28" s="1958"/>
      <c r="C28" s="1959"/>
      <c r="D28" s="1960"/>
      <c r="E28" s="1961"/>
      <c r="F28" s="1960"/>
      <c r="G28" s="1961"/>
      <c r="H28" s="1960"/>
      <c r="I28" s="1962"/>
      <c r="J28" s="1961"/>
      <c r="K28" s="1955"/>
      <c r="L28" s="1956"/>
    </row>
    <row r="29" spans="1:12" s="498" customFormat="1" ht="18" customHeight="1">
      <c r="A29" s="1957" t="s">
        <v>565</v>
      </c>
      <c r="B29" s="1958"/>
      <c r="C29" s="1959"/>
      <c r="D29" s="1960"/>
      <c r="E29" s="1961"/>
      <c r="F29" s="1960"/>
      <c r="G29" s="1961"/>
      <c r="H29" s="1960">
        <v>0</v>
      </c>
      <c r="I29" s="1962"/>
      <c r="J29" s="1961"/>
      <c r="K29" s="1955" t="e">
        <f t="shared" si="1"/>
        <v>#DIV/0!</v>
      </c>
      <c r="L29" s="1956"/>
    </row>
    <row r="30" spans="1:12" s="498" customFormat="1" ht="18" customHeight="1">
      <c r="A30" s="1957" t="s">
        <v>566</v>
      </c>
      <c r="B30" s="1958"/>
      <c r="C30" s="1959"/>
      <c r="D30" s="1960"/>
      <c r="E30" s="1961"/>
      <c r="F30" s="1960"/>
      <c r="G30" s="1961"/>
      <c r="H30" s="1960"/>
      <c r="I30" s="1962"/>
      <c r="J30" s="1961"/>
      <c r="K30" s="1955"/>
      <c r="L30" s="1956"/>
    </row>
    <row r="31" spans="1:12" s="378" customFormat="1" ht="26.25" customHeight="1">
      <c r="A31" s="1983" t="s">
        <v>567</v>
      </c>
      <c r="B31" s="1984"/>
      <c r="C31" s="1985"/>
      <c r="D31" s="1986">
        <f>D10+D22</f>
        <v>2098778496.01</v>
      </c>
      <c r="E31" s="1987"/>
      <c r="F31" s="1986">
        <f>F10+F22</f>
        <v>2098778496.01</v>
      </c>
      <c r="G31" s="1987"/>
      <c r="H31" s="1986">
        <f>H10+H22</f>
        <v>400752035.78999996</v>
      </c>
      <c r="I31" s="1988"/>
      <c r="J31" s="1987"/>
      <c r="K31" s="1989">
        <f t="shared" si="1"/>
        <v>19.094536967663426</v>
      </c>
      <c r="L31" s="1990"/>
    </row>
    <row r="32" spans="1:12" s="378" customFormat="1" ht="18.75" customHeight="1" hidden="1">
      <c r="A32" s="1010"/>
      <c r="B32" s="1011"/>
      <c r="C32" s="1012"/>
      <c r="D32" s="1012"/>
      <c r="E32" s="1013"/>
      <c r="F32" s="1013"/>
      <c r="G32" s="1014"/>
      <c r="H32" s="1015"/>
      <c r="I32" s="1016"/>
      <c r="J32" s="1017"/>
      <c r="K32" s="1018"/>
      <c r="L32" s="925"/>
    </row>
    <row r="33" spans="1:12" s="378" customFormat="1" ht="19.5" customHeight="1" hidden="1">
      <c r="A33" s="1010"/>
      <c r="B33" s="1011"/>
      <c r="C33" s="1019"/>
      <c r="D33" s="1019"/>
      <c r="E33" s="1020"/>
      <c r="F33" s="1020"/>
      <c r="G33" s="1021"/>
      <c r="H33" s="1015"/>
      <c r="I33" s="1016"/>
      <c r="J33" s="1017"/>
      <c r="K33" s="1022"/>
      <c r="L33" s="925"/>
    </row>
    <row r="34" spans="1:12" s="378" customFormat="1" ht="9" customHeight="1">
      <c r="A34" s="1010"/>
      <c r="B34" s="1991"/>
      <c r="C34" s="1991"/>
      <c r="D34" s="1991"/>
      <c r="E34" s="1991"/>
      <c r="F34" s="1991"/>
      <c r="G34" s="1991"/>
      <c r="H34" s="1991"/>
      <c r="I34" s="1991"/>
      <c r="J34" s="1991"/>
      <c r="K34" s="1991"/>
      <c r="L34" s="1992"/>
    </row>
    <row r="35" spans="1:12" s="378" customFormat="1" ht="21.75" customHeight="1">
      <c r="A35" s="1974" t="s">
        <v>568</v>
      </c>
      <c r="B35" s="1975"/>
      <c r="C35" s="1976"/>
      <c r="D35" s="1969" t="s">
        <v>194</v>
      </c>
      <c r="E35" s="1993" t="s">
        <v>569</v>
      </c>
      <c r="F35" s="1995" t="s">
        <v>242</v>
      </c>
      <c r="G35" s="1995"/>
      <c r="H35" s="1980" t="s">
        <v>156</v>
      </c>
      <c r="I35" s="1981"/>
      <c r="J35" s="1982" t="s">
        <v>570</v>
      </c>
      <c r="K35" s="1982"/>
      <c r="L35" s="1967" t="s">
        <v>571</v>
      </c>
    </row>
    <row r="36" spans="1:12" s="1027" customFormat="1" ht="36.75" customHeight="1">
      <c r="A36" s="1977"/>
      <c r="B36" s="1978"/>
      <c r="C36" s="1979"/>
      <c r="D36" s="1970"/>
      <c r="E36" s="1994"/>
      <c r="F36" s="1023" t="s">
        <v>572</v>
      </c>
      <c r="G36" s="1024" t="s">
        <v>573</v>
      </c>
      <c r="H36" s="1023" t="s">
        <v>574</v>
      </c>
      <c r="I36" s="1024" t="s">
        <v>575</v>
      </c>
      <c r="J36" s="1025" t="s">
        <v>957</v>
      </c>
      <c r="K36" s="1026" t="s">
        <v>576</v>
      </c>
      <c r="L36" s="1968"/>
    </row>
    <row r="37" spans="1:12" s="498" customFormat="1" ht="18" customHeight="1">
      <c r="A37" s="1996" t="s">
        <v>577</v>
      </c>
      <c r="B37" s="1997"/>
      <c r="C37" s="1998"/>
      <c r="D37" s="1028">
        <f>D38+D39</f>
        <v>9788000</v>
      </c>
      <c r="E37" s="1028">
        <f>E38+E39</f>
        <v>8788000</v>
      </c>
      <c r="F37" s="1028">
        <f>F38+F39</f>
        <v>4667733.33</v>
      </c>
      <c r="G37" s="1029">
        <f>(F37/E37)*100</f>
        <v>53.11485355029586</v>
      </c>
      <c r="H37" s="1028">
        <f>H38+H39</f>
        <v>1512935.32</v>
      </c>
      <c r="I37" s="1028">
        <f>(H37/E37)*100</f>
        <v>17.21592307692308</v>
      </c>
      <c r="J37" s="1028">
        <f>J38+J39</f>
        <v>383030.25</v>
      </c>
      <c r="K37" s="1028">
        <f>(J37/E37)*100</f>
        <v>4.35855996813837</v>
      </c>
      <c r="L37" s="1028">
        <f>L38+L39</f>
        <v>0</v>
      </c>
    </row>
    <row r="38" spans="1:12" s="378" customFormat="1" ht="18" customHeight="1">
      <c r="A38" s="1971" t="s">
        <v>150</v>
      </c>
      <c r="B38" s="1972"/>
      <c r="C38" s="1973"/>
      <c r="D38" s="1030">
        <f>4950000+4778000</f>
        <v>9728000</v>
      </c>
      <c r="E38" s="1031">
        <f>D38-1000000</f>
        <v>8728000</v>
      </c>
      <c r="F38" s="1031">
        <f>3600000+1067733.33</f>
        <v>4667733.33</v>
      </c>
      <c r="G38" s="1029">
        <f aca="true" t="shared" si="2" ref="G38:G58">(F38/E38)*100</f>
        <v>53.47998774060495</v>
      </c>
      <c r="H38" s="1032">
        <f>453398+1059537.32</f>
        <v>1512935.32</v>
      </c>
      <c r="I38" s="1028">
        <f aca="true" t="shared" si="3" ref="I38:I58">(H38/E38)*100</f>
        <v>17.334272685609534</v>
      </c>
      <c r="J38" s="1033">
        <f>383030.25</f>
        <v>383030.25</v>
      </c>
      <c r="K38" s="1028">
        <f aca="true" t="shared" si="4" ref="K38:K58">(J38/E38)*100</f>
        <v>4.388522571035747</v>
      </c>
      <c r="L38" s="1034"/>
    </row>
    <row r="39" spans="1:12" s="378" customFormat="1" ht="18" customHeight="1">
      <c r="A39" s="1971" t="s">
        <v>151</v>
      </c>
      <c r="B39" s="1972"/>
      <c r="C39" s="1973"/>
      <c r="D39" s="1035">
        <v>60000</v>
      </c>
      <c r="E39" s="1036">
        <f>D39</f>
        <v>60000</v>
      </c>
      <c r="F39" s="1036"/>
      <c r="G39" s="1037"/>
      <c r="H39" s="1036"/>
      <c r="I39" s="1038"/>
      <c r="J39" s="1039"/>
      <c r="K39" s="1038"/>
      <c r="L39" s="1034"/>
    </row>
    <row r="40" spans="1:12" s="498" customFormat="1" ht="18" customHeight="1">
      <c r="A40" s="1996" t="s">
        <v>578</v>
      </c>
      <c r="B40" s="1997"/>
      <c r="C40" s="1998"/>
      <c r="D40" s="1028">
        <f>D41+D42</f>
        <v>210506961</v>
      </c>
      <c r="E40" s="1028">
        <f>E41+E42</f>
        <v>208506961</v>
      </c>
      <c r="F40" s="1028">
        <f>F41+F42</f>
        <v>198843530.35</v>
      </c>
      <c r="G40" s="1029">
        <f t="shared" si="2"/>
        <v>95.3654158097868</v>
      </c>
      <c r="H40" s="1028">
        <f>H41+H42</f>
        <v>25194722</v>
      </c>
      <c r="I40" s="1028">
        <f t="shared" si="3"/>
        <v>12.083396103020274</v>
      </c>
      <c r="J40" s="1028">
        <f>J41+J42</f>
        <v>22061970.82</v>
      </c>
      <c r="K40" s="1028">
        <f t="shared" si="4"/>
        <v>10.580927713008105</v>
      </c>
      <c r="L40" s="1035">
        <f>L41+L42</f>
        <v>0</v>
      </c>
    </row>
    <row r="41" spans="1:12" s="378" customFormat="1" ht="18" customHeight="1">
      <c r="A41" s="1971" t="s">
        <v>150</v>
      </c>
      <c r="B41" s="1972"/>
      <c r="C41" s="1973"/>
      <c r="D41" s="1030">
        <f>196597373+13779588</f>
        <v>210376961</v>
      </c>
      <c r="E41" s="1031">
        <f>D41-2000000</f>
        <v>208376961</v>
      </c>
      <c r="F41" s="1031">
        <f>196577373+2266157.35</f>
        <v>198843530.35</v>
      </c>
      <c r="G41" s="1029">
        <f t="shared" si="2"/>
        <v>95.42491137012023</v>
      </c>
      <c r="H41" s="1032">
        <f>24542635.25+652086.75</f>
        <v>25194722</v>
      </c>
      <c r="I41" s="1028">
        <f t="shared" si="3"/>
        <v>12.090934563538433</v>
      </c>
      <c r="J41" s="1033">
        <f>20459.8+22041511.02</f>
        <v>22061970.82</v>
      </c>
      <c r="K41" s="1028">
        <f t="shared" si="4"/>
        <v>10.587528829542725</v>
      </c>
      <c r="L41" s="1034"/>
    </row>
    <row r="42" spans="1:12" s="378" customFormat="1" ht="18" customHeight="1">
      <c r="A42" s="1971" t="s">
        <v>151</v>
      </c>
      <c r="B42" s="1972"/>
      <c r="C42" s="1973"/>
      <c r="D42" s="1030">
        <v>130000</v>
      </c>
      <c r="E42" s="1031">
        <f>D42</f>
        <v>130000</v>
      </c>
      <c r="F42" s="1031"/>
      <c r="G42" s="1029">
        <f t="shared" si="2"/>
        <v>0</v>
      </c>
      <c r="H42" s="1032"/>
      <c r="I42" s="1028">
        <f t="shared" si="3"/>
        <v>0</v>
      </c>
      <c r="J42" s="1033"/>
      <c r="K42" s="1028">
        <f t="shared" si="4"/>
        <v>0</v>
      </c>
      <c r="L42" s="1034"/>
    </row>
    <row r="43" spans="1:12" s="498" customFormat="1" ht="18" customHeight="1">
      <c r="A43" s="1996" t="s">
        <v>579</v>
      </c>
      <c r="B43" s="1997"/>
      <c r="C43" s="1998"/>
      <c r="D43" s="1028">
        <f>D44+D45</f>
        <v>700000</v>
      </c>
      <c r="E43" s="1028">
        <f>E44+E45</f>
        <v>700000</v>
      </c>
      <c r="F43" s="1028">
        <f>F44+F45</f>
        <v>0</v>
      </c>
      <c r="G43" s="1029">
        <f t="shared" si="2"/>
        <v>0</v>
      </c>
      <c r="H43" s="1028">
        <f>H44+H45</f>
        <v>0</v>
      </c>
      <c r="I43" s="1028">
        <f t="shared" si="3"/>
        <v>0</v>
      </c>
      <c r="J43" s="1028">
        <f>J44+J45</f>
        <v>0</v>
      </c>
      <c r="K43" s="1028">
        <f t="shared" si="4"/>
        <v>0</v>
      </c>
      <c r="L43" s="1035">
        <f>L44+L45</f>
        <v>0</v>
      </c>
    </row>
    <row r="44" spans="1:12" s="378" customFormat="1" ht="18" customHeight="1">
      <c r="A44" s="1971" t="s">
        <v>150</v>
      </c>
      <c r="B44" s="1972"/>
      <c r="C44" s="1973"/>
      <c r="D44" s="1030">
        <v>700000</v>
      </c>
      <c r="E44" s="1031">
        <f>D44</f>
        <v>700000</v>
      </c>
      <c r="F44" s="1036"/>
      <c r="G44" s="1029">
        <f t="shared" si="2"/>
        <v>0</v>
      </c>
      <c r="H44" s="1032"/>
      <c r="I44" s="1028">
        <f t="shared" si="3"/>
        <v>0</v>
      </c>
      <c r="J44" s="1033"/>
      <c r="K44" s="1028">
        <f t="shared" si="4"/>
        <v>0</v>
      </c>
      <c r="L44" s="1034"/>
    </row>
    <row r="45" spans="1:12" s="378" customFormat="1" ht="18" customHeight="1">
      <c r="A45" s="1971" t="s">
        <v>151</v>
      </c>
      <c r="B45" s="1972"/>
      <c r="C45" s="1973"/>
      <c r="D45" s="1035"/>
      <c r="E45" s="1036"/>
      <c r="F45" s="1036"/>
      <c r="G45" s="1037"/>
      <c r="H45" s="1036"/>
      <c r="I45" s="1038"/>
      <c r="J45" s="1039"/>
      <c r="K45" s="1038"/>
      <c r="L45" s="1034"/>
    </row>
    <row r="46" spans="1:12" s="498" customFormat="1" ht="18" customHeight="1">
      <c r="A46" s="1996" t="s">
        <v>580</v>
      </c>
      <c r="B46" s="1997"/>
      <c r="C46" s="1998"/>
      <c r="D46" s="1028">
        <f>D47+D48</f>
        <v>317500</v>
      </c>
      <c r="E46" s="1028">
        <f>E47+E48</f>
        <v>317500</v>
      </c>
      <c r="F46" s="1028">
        <f>F47+F48</f>
        <v>0</v>
      </c>
      <c r="G46" s="1029">
        <f t="shared" si="2"/>
        <v>0</v>
      </c>
      <c r="H46" s="1028">
        <f>H47+H48</f>
        <v>0</v>
      </c>
      <c r="I46" s="1028">
        <f t="shared" si="3"/>
        <v>0</v>
      </c>
      <c r="J46" s="1028">
        <f>J47+J48</f>
        <v>0</v>
      </c>
      <c r="K46" s="1028">
        <f t="shared" si="4"/>
        <v>0</v>
      </c>
      <c r="L46" s="1035">
        <f>L47+L48</f>
        <v>0</v>
      </c>
    </row>
    <row r="47" spans="1:12" s="378" customFormat="1" ht="18" customHeight="1">
      <c r="A47" s="1971" t="s">
        <v>150</v>
      </c>
      <c r="B47" s="1972"/>
      <c r="C47" s="1973"/>
      <c r="D47" s="1030">
        <f>100000+200000</f>
        <v>300000</v>
      </c>
      <c r="E47" s="1031">
        <f>D47</f>
        <v>300000</v>
      </c>
      <c r="F47" s="1031"/>
      <c r="G47" s="1029">
        <f t="shared" si="2"/>
        <v>0</v>
      </c>
      <c r="H47" s="1032"/>
      <c r="I47" s="1028">
        <f t="shared" si="3"/>
        <v>0</v>
      </c>
      <c r="J47" s="1033"/>
      <c r="K47" s="1028">
        <f t="shared" si="4"/>
        <v>0</v>
      </c>
      <c r="L47" s="1034"/>
    </row>
    <row r="48" spans="1:12" s="378" customFormat="1" ht="18" customHeight="1">
      <c r="A48" s="1971" t="s">
        <v>151</v>
      </c>
      <c r="B48" s="1972"/>
      <c r="C48" s="1973"/>
      <c r="D48" s="1030">
        <v>17500</v>
      </c>
      <c r="E48" s="1031">
        <f>D48</f>
        <v>17500</v>
      </c>
      <c r="F48" s="1031"/>
      <c r="G48" s="1029">
        <f t="shared" si="2"/>
        <v>0</v>
      </c>
      <c r="H48" s="1032"/>
      <c r="I48" s="1028">
        <f t="shared" si="3"/>
        <v>0</v>
      </c>
      <c r="J48" s="1033"/>
      <c r="K48" s="1028">
        <f t="shared" si="4"/>
        <v>0</v>
      </c>
      <c r="L48" s="1034"/>
    </row>
    <row r="49" spans="1:12" s="498" customFormat="1" ht="18" customHeight="1">
      <c r="A49" s="1996" t="s">
        <v>581</v>
      </c>
      <c r="B49" s="1997"/>
      <c r="C49" s="1998"/>
      <c r="D49" s="1028">
        <f>D50+D51</f>
        <v>5013000</v>
      </c>
      <c r="E49" s="1028">
        <f>E50+E51</f>
        <v>8113000</v>
      </c>
      <c r="F49" s="1028">
        <f>F50+F51</f>
        <v>6163726</v>
      </c>
      <c r="G49" s="1029">
        <f t="shared" si="2"/>
        <v>75.97345001848885</v>
      </c>
      <c r="H49" s="1028">
        <f>H50+H51</f>
        <v>1029984.16</v>
      </c>
      <c r="I49" s="1028">
        <f t="shared" si="3"/>
        <v>12.695478368051278</v>
      </c>
      <c r="J49" s="1028">
        <f>J50+J51</f>
        <v>449331.9</v>
      </c>
      <c r="K49" s="1028">
        <f t="shared" si="4"/>
        <v>5.538418587452237</v>
      </c>
      <c r="L49" s="1035">
        <f>L50+L51</f>
        <v>0</v>
      </c>
    </row>
    <row r="50" spans="1:12" s="378" customFormat="1" ht="18" customHeight="1">
      <c r="A50" s="1971" t="s">
        <v>150</v>
      </c>
      <c r="B50" s="1972"/>
      <c r="C50" s="1973"/>
      <c r="D50" s="1030">
        <f>3300000+1713000</f>
        <v>5013000</v>
      </c>
      <c r="E50" s="1031">
        <f>D50+3100000</f>
        <v>8113000</v>
      </c>
      <c r="F50" s="1031">
        <f>5287936.36+875789.64</f>
        <v>6163726</v>
      </c>
      <c r="G50" s="1029">
        <f>(F50/E50)*100</f>
        <v>75.97345001848885</v>
      </c>
      <c r="H50" s="1032">
        <f>734013.76+295970.4</f>
        <v>1029984.16</v>
      </c>
      <c r="I50" s="1028">
        <f t="shared" si="3"/>
        <v>12.695478368051278</v>
      </c>
      <c r="J50" s="1033">
        <f>449331.9</f>
        <v>449331.9</v>
      </c>
      <c r="K50" s="1028">
        <f t="shared" si="4"/>
        <v>5.538418587452237</v>
      </c>
      <c r="L50" s="1034"/>
    </row>
    <row r="51" spans="1:12" s="378" customFormat="1" ht="18" customHeight="1">
      <c r="A51" s="1971" t="s">
        <v>151</v>
      </c>
      <c r="B51" s="1972"/>
      <c r="C51" s="1973"/>
      <c r="D51" s="1035"/>
      <c r="E51" s="1036"/>
      <c r="F51" s="1036"/>
      <c r="G51" s="1037"/>
      <c r="H51" s="1032"/>
      <c r="I51" s="1038"/>
      <c r="J51" s="1033"/>
      <c r="K51" s="1038"/>
      <c r="L51" s="1034"/>
    </row>
    <row r="52" spans="1:12" s="498" customFormat="1" ht="18" customHeight="1">
      <c r="A52" s="1996" t="s">
        <v>582</v>
      </c>
      <c r="B52" s="1997"/>
      <c r="C52" s="1998"/>
      <c r="D52" s="1028">
        <f>D53+D54</f>
        <v>0</v>
      </c>
      <c r="E52" s="1028">
        <f>E53+E54</f>
        <v>0</v>
      </c>
      <c r="F52" s="1028">
        <f>F53+F54</f>
        <v>0</v>
      </c>
      <c r="G52" s="1037" t="e">
        <f t="shared" si="2"/>
        <v>#DIV/0!</v>
      </c>
      <c r="H52" s="1028">
        <f>H53+H54</f>
        <v>0</v>
      </c>
      <c r="I52" s="1038" t="e">
        <f t="shared" si="3"/>
        <v>#DIV/0!</v>
      </c>
      <c r="J52" s="1028">
        <f>J53+J54</f>
        <v>0</v>
      </c>
      <c r="K52" s="1038" t="e">
        <f t="shared" si="4"/>
        <v>#DIV/0!</v>
      </c>
      <c r="L52" s="1035">
        <f>L53+L54</f>
        <v>0</v>
      </c>
    </row>
    <row r="53" spans="1:12" s="378" customFormat="1" ht="18" customHeight="1">
      <c r="A53" s="1971" t="s">
        <v>150</v>
      </c>
      <c r="B53" s="1972"/>
      <c r="C53" s="1973"/>
      <c r="D53" s="1035"/>
      <c r="E53" s="1036"/>
      <c r="F53" s="1036"/>
      <c r="G53" s="1037"/>
      <c r="H53" s="1032"/>
      <c r="I53" s="1038"/>
      <c r="J53" s="1033"/>
      <c r="K53" s="1038"/>
      <c r="L53" s="1034"/>
    </row>
    <row r="54" spans="1:12" s="378" customFormat="1" ht="18" customHeight="1">
      <c r="A54" s="1971" t="s">
        <v>151</v>
      </c>
      <c r="B54" s="1972"/>
      <c r="C54" s="1973"/>
      <c r="D54" s="1035"/>
      <c r="E54" s="1036"/>
      <c r="F54" s="1036"/>
      <c r="G54" s="1037"/>
      <c r="H54" s="1032"/>
      <c r="I54" s="1038"/>
      <c r="J54" s="1033"/>
      <c r="K54" s="1038"/>
      <c r="L54" s="1034"/>
    </row>
    <row r="55" spans="1:12" s="498" customFormat="1" ht="18" customHeight="1">
      <c r="A55" s="1996" t="s">
        <v>622</v>
      </c>
      <c r="B55" s="1997"/>
      <c r="C55" s="1998"/>
      <c r="D55" s="1028">
        <f>D56+D57</f>
        <v>287187980</v>
      </c>
      <c r="E55" s="1028">
        <f>E56+E57</f>
        <v>290187980</v>
      </c>
      <c r="F55" s="1028">
        <f>F56+F57</f>
        <v>260734042.31</v>
      </c>
      <c r="G55" s="1029">
        <f t="shared" si="2"/>
        <v>89.8500490302872</v>
      </c>
      <c r="H55" s="1028">
        <f>H56+H57</f>
        <v>37268764.06</v>
      </c>
      <c r="I55" s="1028">
        <f t="shared" si="3"/>
        <v>12.842973048022182</v>
      </c>
      <c r="J55" s="1028">
        <f>J56+J57</f>
        <v>20963496.29</v>
      </c>
      <c r="K55" s="1028">
        <f t="shared" si="4"/>
        <v>7.224109106793465</v>
      </c>
      <c r="L55" s="1035">
        <f>L56+L57</f>
        <v>0</v>
      </c>
    </row>
    <row r="56" spans="1:12" s="378" customFormat="1" ht="18" customHeight="1">
      <c r="A56" s="1971" t="s">
        <v>150</v>
      </c>
      <c r="B56" s="1972"/>
      <c r="C56" s="1973"/>
      <c r="D56" s="1030">
        <f>210170000+9702000+103000+67007980</f>
        <v>286982980</v>
      </c>
      <c r="E56" s="1031">
        <f>D56+3000000</f>
        <v>289982980</v>
      </c>
      <c r="F56" s="1031">
        <f>209810351.79+18597.63+1341138.84+49563954.05</f>
        <v>260734042.31</v>
      </c>
      <c r="G56" s="1029">
        <f t="shared" si="2"/>
        <v>89.91356744799297</v>
      </c>
      <c r="H56" s="1032">
        <f>32466836.98+13945.44+4787981.64</f>
        <v>37268764.06</v>
      </c>
      <c r="I56" s="1028">
        <f t="shared" si="3"/>
        <v>12.852052234238023</v>
      </c>
      <c r="J56" s="1033">
        <f>16327715.19+6972.72+4628808.38</f>
        <v>20963496.29</v>
      </c>
      <c r="K56" s="1028">
        <f t="shared" si="4"/>
        <v>7.229216104338261</v>
      </c>
      <c r="L56" s="1034"/>
    </row>
    <row r="57" spans="1:12" s="378" customFormat="1" ht="18" customHeight="1">
      <c r="A57" s="1971" t="s">
        <v>151</v>
      </c>
      <c r="B57" s="1972"/>
      <c r="C57" s="1973"/>
      <c r="D57" s="1030">
        <f>25000+180000</f>
        <v>205000</v>
      </c>
      <c r="E57" s="1031">
        <f>D57</f>
        <v>205000</v>
      </c>
      <c r="F57" s="1036"/>
      <c r="G57" s="1029">
        <f t="shared" si="2"/>
        <v>0</v>
      </c>
      <c r="H57" s="1032"/>
      <c r="I57" s="1028">
        <f t="shared" si="3"/>
        <v>0</v>
      </c>
      <c r="J57" s="1033"/>
      <c r="K57" s="1028">
        <f t="shared" si="4"/>
        <v>0</v>
      </c>
      <c r="L57" s="1034"/>
    </row>
    <row r="58" spans="1:12" s="498" customFormat="1" ht="24" customHeight="1">
      <c r="A58" s="1974" t="s">
        <v>583</v>
      </c>
      <c r="B58" s="1975"/>
      <c r="C58" s="1976"/>
      <c r="D58" s="1040">
        <f>D37+D40+D43+D46+D49+D52+D55</f>
        <v>513513441</v>
      </c>
      <c r="E58" s="1040">
        <f>E37+E40+E43+E46+E49+E52+E55</f>
        <v>516613441</v>
      </c>
      <c r="F58" s="1040">
        <f>F37+F40+F43+F46+F49+F52+F55</f>
        <v>470409031.99</v>
      </c>
      <c r="G58" s="1242">
        <f t="shared" si="2"/>
        <v>91.05628980141073</v>
      </c>
      <c r="H58" s="1040">
        <f>H37+H40+H43+H46+H49+H52+H55</f>
        <v>65006405.54000001</v>
      </c>
      <c r="I58" s="1040">
        <f t="shared" si="3"/>
        <v>12.583181230083405</v>
      </c>
      <c r="J58" s="1040">
        <f>J37+J40+J43+J46+J49+J52+J55</f>
        <v>43857829.26</v>
      </c>
      <c r="K58" s="1040">
        <f t="shared" si="4"/>
        <v>8.489486679848115</v>
      </c>
      <c r="L58" s="1042">
        <f>L37+L40+L43+L46+L49+L52+L55</f>
        <v>0</v>
      </c>
    </row>
    <row r="59" spans="1:12" s="498" customFormat="1" ht="24" customHeight="1">
      <c r="A59" s="1043"/>
      <c r="B59" s="1043"/>
      <c r="C59" s="1043"/>
      <c r="D59" s="1044"/>
      <c r="E59" s="1044"/>
      <c r="F59" s="1044"/>
      <c r="G59" s="1243"/>
      <c r="H59" s="1044"/>
      <c r="I59" s="1044"/>
      <c r="J59" s="1044"/>
      <c r="K59" s="1044"/>
      <c r="L59" s="1244"/>
    </row>
    <row r="60" spans="1:12" s="498" customFormat="1" ht="24" customHeight="1">
      <c r="A60" s="1045"/>
      <c r="B60" s="1045"/>
      <c r="C60" s="1045"/>
      <c r="D60" s="1046"/>
      <c r="E60" s="1046"/>
      <c r="F60" s="1046"/>
      <c r="G60" s="1245"/>
      <c r="H60" s="1046"/>
      <c r="I60" s="1046"/>
      <c r="J60" s="1046"/>
      <c r="K60" s="1046"/>
      <c r="L60" s="1246"/>
    </row>
    <row r="61" spans="1:12" s="498" customFormat="1" ht="24" customHeight="1">
      <c r="A61" s="1045"/>
      <c r="B61" s="1045"/>
      <c r="C61" s="1045"/>
      <c r="D61" s="1046"/>
      <c r="E61" s="1046"/>
      <c r="F61" s="1046"/>
      <c r="G61" s="1047"/>
      <c r="H61" s="1046"/>
      <c r="I61" s="1048"/>
      <c r="J61" s="1046"/>
      <c r="K61" s="1048"/>
      <c r="L61" s="1046"/>
    </row>
    <row r="62" spans="1:12" s="498" customFormat="1" ht="24" customHeight="1">
      <c r="A62" s="1045"/>
      <c r="B62" s="1045"/>
      <c r="C62" s="1045"/>
      <c r="D62" s="1046"/>
      <c r="E62" s="1046"/>
      <c r="F62" s="1046"/>
      <c r="G62" s="1047"/>
      <c r="H62" s="1046"/>
      <c r="I62" s="1048"/>
      <c r="J62" s="1046"/>
      <c r="K62" s="1048"/>
      <c r="L62" s="1046"/>
    </row>
    <row r="63" spans="1:12" s="498" customFormat="1" ht="24" customHeight="1">
      <c r="A63" s="1045"/>
      <c r="B63" s="1045"/>
      <c r="C63" s="1045"/>
      <c r="D63" s="1046"/>
      <c r="E63" s="1046"/>
      <c r="F63" s="1046"/>
      <c r="G63" s="1047"/>
      <c r="H63" s="1046"/>
      <c r="I63" s="1048"/>
      <c r="J63" s="1046"/>
      <c r="K63" s="1048"/>
      <c r="L63" s="1046"/>
    </row>
    <row r="64" spans="1:12" s="498" customFormat="1" ht="24" customHeight="1">
      <c r="A64" s="1045"/>
      <c r="B64" s="1045"/>
      <c r="C64" s="1045"/>
      <c r="D64" s="1046"/>
      <c r="E64" s="1046"/>
      <c r="F64" s="1046"/>
      <c r="G64" s="1047"/>
      <c r="H64" s="1046"/>
      <c r="I64" s="1048"/>
      <c r="J64" s="1046"/>
      <c r="K64" s="1048"/>
      <c r="L64" s="1046"/>
    </row>
    <row r="65" spans="1:12" s="378" customFormat="1" ht="31.5" customHeight="1">
      <c r="A65" s="1999" t="s">
        <v>584</v>
      </c>
      <c r="B65" s="2000"/>
      <c r="C65" s="2000"/>
      <c r="D65" s="2000"/>
      <c r="E65" s="2000"/>
      <c r="F65" s="2001"/>
      <c r="G65" s="2002" t="s">
        <v>585</v>
      </c>
      <c r="H65" s="2003"/>
      <c r="I65" s="1942" t="s">
        <v>586</v>
      </c>
      <c r="J65" s="1944"/>
      <c r="K65" s="2004" t="s">
        <v>587</v>
      </c>
      <c r="L65" s="2005"/>
    </row>
    <row r="66" spans="1:12" s="378" customFormat="1" ht="19.5" customHeight="1">
      <c r="A66" s="1971" t="s">
        <v>588</v>
      </c>
      <c r="B66" s="1972"/>
      <c r="C66" s="1972"/>
      <c r="D66" s="1972"/>
      <c r="E66" s="1972"/>
      <c r="F66" s="1973"/>
      <c r="G66" s="2006">
        <f>F58</f>
        <v>470409031.99</v>
      </c>
      <c r="H66" s="2007"/>
      <c r="I66" s="2006">
        <f>H58</f>
        <v>65006405.54000001</v>
      </c>
      <c r="J66" s="2007"/>
      <c r="K66" s="2006">
        <f>J58</f>
        <v>43857829.26</v>
      </c>
      <c r="L66" s="2007"/>
    </row>
    <row r="67" spans="1:12" s="378" customFormat="1" ht="19.5" customHeight="1">
      <c r="A67" s="2008" t="s">
        <v>589</v>
      </c>
      <c r="B67" s="1972"/>
      <c r="C67" s="1972"/>
      <c r="D67" s="1972"/>
      <c r="E67" s="1972"/>
      <c r="F67" s="1973"/>
      <c r="G67" s="2006"/>
      <c r="H67" s="2007"/>
      <c r="I67" s="2006"/>
      <c r="J67" s="2007"/>
      <c r="K67" s="2006"/>
      <c r="L67" s="2007"/>
    </row>
    <row r="68" spans="1:12" s="378" customFormat="1" ht="19.5" customHeight="1">
      <c r="A68" s="2008" t="s">
        <v>590</v>
      </c>
      <c r="B68" s="1972"/>
      <c r="C68" s="1972"/>
      <c r="D68" s="1972"/>
      <c r="E68" s="1972"/>
      <c r="F68" s="1973"/>
      <c r="G68" s="2006"/>
      <c r="H68" s="2007"/>
      <c r="I68" s="2006"/>
      <c r="J68" s="2007"/>
      <c r="K68" s="2006"/>
      <c r="L68" s="2007"/>
    </row>
    <row r="69" spans="1:12" s="378" customFormat="1" ht="19.5" customHeight="1">
      <c r="A69" s="2008" t="s">
        <v>591</v>
      </c>
      <c r="B69" s="1972"/>
      <c r="C69" s="1972"/>
      <c r="D69" s="1972"/>
      <c r="E69" s="1972"/>
      <c r="F69" s="1973"/>
      <c r="G69" s="2006"/>
      <c r="H69" s="2007"/>
      <c r="I69" s="2006"/>
      <c r="J69" s="2007"/>
      <c r="K69" s="2006"/>
      <c r="L69" s="2007"/>
    </row>
    <row r="70" spans="1:12" s="498" customFormat="1" ht="19.5" customHeight="1">
      <c r="A70" s="1983" t="s">
        <v>592</v>
      </c>
      <c r="B70" s="1984"/>
      <c r="C70" s="1984"/>
      <c r="D70" s="1984"/>
      <c r="E70" s="1984"/>
      <c r="F70" s="1985">
        <f aca="true" t="shared" si="5" ref="F70:L70">F66-F67-F68-F69</f>
        <v>0</v>
      </c>
      <c r="G70" s="1986">
        <f t="shared" si="5"/>
        <v>470409031.99</v>
      </c>
      <c r="H70" s="1987">
        <f t="shared" si="5"/>
        <v>0</v>
      </c>
      <c r="I70" s="1986">
        <f t="shared" si="5"/>
        <v>65006405.54000001</v>
      </c>
      <c r="J70" s="1987">
        <f t="shared" si="5"/>
        <v>0</v>
      </c>
      <c r="K70" s="1986">
        <f t="shared" si="5"/>
        <v>43857829.26</v>
      </c>
      <c r="L70" s="1987">
        <f t="shared" si="5"/>
        <v>0</v>
      </c>
    </row>
    <row r="71" spans="1:12" s="378" customFormat="1" ht="19.5" customHeight="1">
      <c r="A71" s="2009" t="s">
        <v>593</v>
      </c>
      <c r="B71" s="2010"/>
      <c r="C71" s="2010"/>
      <c r="D71" s="2010"/>
      <c r="E71" s="2010"/>
      <c r="F71" s="2011"/>
      <c r="G71" s="2012">
        <f>H31*0.15</f>
        <v>60112805.368499994</v>
      </c>
      <c r="H71" s="2012"/>
      <c r="I71" s="2012"/>
      <c r="J71" s="2012"/>
      <c r="K71" s="2012"/>
      <c r="L71" s="2012"/>
    </row>
    <row r="72" spans="1:12" s="378" customFormat="1" ht="19.5" customHeight="1">
      <c r="A72" s="2009" t="s">
        <v>594</v>
      </c>
      <c r="B72" s="2010"/>
      <c r="C72" s="2010"/>
      <c r="D72" s="2010"/>
      <c r="E72" s="2010"/>
      <c r="F72" s="2011"/>
      <c r="G72" s="2013">
        <v>0</v>
      </c>
      <c r="H72" s="2013"/>
      <c r="I72" s="2013"/>
      <c r="J72" s="2013"/>
      <c r="K72" s="2013"/>
      <c r="L72" s="2013"/>
    </row>
    <row r="73" spans="1:12" s="378" customFormat="1" ht="19.5" customHeight="1">
      <c r="A73" s="2009" t="s">
        <v>595</v>
      </c>
      <c r="B73" s="2010"/>
      <c r="C73" s="2010"/>
      <c r="D73" s="2010"/>
      <c r="E73" s="2010"/>
      <c r="F73" s="2011"/>
      <c r="G73" s="2012">
        <f>I70-G71</f>
        <v>4893600.171500012</v>
      </c>
      <c r="H73" s="2012"/>
      <c r="I73" s="2012"/>
      <c r="J73" s="2012"/>
      <c r="K73" s="2012"/>
      <c r="L73" s="2012"/>
    </row>
    <row r="74" spans="1:12" s="378" customFormat="1" ht="19.5" customHeight="1">
      <c r="A74" s="2009" t="s">
        <v>596</v>
      </c>
      <c r="B74" s="2010"/>
      <c r="C74" s="2010"/>
      <c r="D74" s="2010"/>
      <c r="E74" s="2010"/>
      <c r="F74" s="2011"/>
      <c r="G74" s="2014">
        <v>0</v>
      </c>
      <c r="H74" s="2015"/>
      <c r="I74" s="2015"/>
      <c r="J74" s="2015"/>
      <c r="K74" s="2015"/>
      <c r="L74" s="2016"/>
    </row>
    <row r="75" spans="1:12" s="1049" customFormat="1" ht="31.5" customHeight="1">
      <c r="A75" s="2017" t="s">
        <v>597</v>
      </c>
      <c r="B75" s="2018"/>
      <c r="C75" s="2018"/>
      <c r="D75" s="2018"/>
      <c r="E75" s="2018"/>
      <c r="F75" s="2019"/>
      <c r="G75" s="1995">
        <f>(I70/H31)*100</f>
        <v>16.22110425761239</v>
      </c>
      <c r="H75" s="1995"/>
      <c r="I75" s="1995"/>
      <c r="J75" s="1995"/>
      <c r="K75" s="1995"/>
      <c r="L75" s="1995"/>
    </row>
    <row r="76" spans="1:12" s="378" customFormat="1" ht="14.25">
      <c r="A76" s="2020"/>
      <c r="B76" s="2021"/>
      <c r="C76" s="2021"/>
      <c r="D76" s="2021"/>
      <c r="E76" s="2021"/>
      <c r="F76" s="2021"/>
      <c r="G76" s="2021"/>
      <c r="H76" s="2021"/>
      <c r="I76" s="2021"/>
      <c r="J76" s="2021"/>
      <c r="K76" s="2021"/>
      <c r="L76" s="2022"/>
    </row>
    <row r="77" spans="1:12" s="498" customFormat="1" ht="20.25" customHeight="1">
      <c r="A77" s="2023" t="s">
        <v>598</v>
      </c>
      <c r="B77" s="2024"/>
      <c r="C77" s="2024"/>
      <c r="D77" s="2024"/>
      <c r="E77" s="2025"/>
      <c r="F77" s="2032" t="s">
        <v>599</v>
      </c>
      <c r="G77" s="2032"/>
      <c r="H77" s="2032"/>
      <c r="I77" s="2032"/>
      <c r="J77" s="2032"/>
      <c r="K77" s="2032"/>
      <c r="L77" s="2032"/>
    </row>
    <row r="78" spans="1:12" s="498" customFormat="1" ht="29.25" customHeight="1">
      <c r="A78" s="2026"/>
      <c r="B78" s="2027"/>
      <c r="C78" s="2027"/>
      <c r="D78" s="2027"/>
      <c r="E78" s="2028"/>
      <c r="F78" s="2032" t="s">
        <v>623</v>
      </c>
      <c r="G78" s="2032"/>
      <c r="H78" s="2032" t="s">
        <v>600</v>
      </c>
      <c r="I78" s="2032"/>
      <c r="J78" s="2032"/>
      <c r="K78" s="2033" t="s">
        <v>638</v>
      </c>
      <c r="L78" s="2033"/>
    </row>
    <row r="79" spans="1:12" s="498" customFormat="1" ht="33.75" customHeight="1">
      <c r="A79" s="2029"/>
      <c r="B79" s="2030"/>
      <c r="C79" s="2030"/>
      <c r="D79" s="2030"/>
      <c r="E79" s="2031"/>
      <c r="F79" s="2032"/>
      <c r="G79" s="2032"/>
      <c r="H79" s="1050" t="s">
        <v>624</v>
      </c>
      <c r="I79" s="1050" t="s">
        <v>625</v>
      </c>
      <c r="J79" s="1050" t="s">
        <v>626</v>
      </c>
      <c r="K79" s="2033"/>
      <c r="L79" s="2033"/>
    </row>
    <row r="80" spans="1:12" s="378" customFormat="1" ht="19.5" customHeight="1">
      <c r="A80" s="2009" t="s">
        <v>627</v>
      </c>
      <c r="B80" s="2010"/>
      <c r="C80" s="2010"/>
      <c r="D80" s="2010"/>
      <c r="E80" s="2011"/>
      <c r="F80" s="2034"/>
      <c r="G80" s="2035"/>
      <c r="H80" s="1118"/>
      <c r="I80" s="1119"/>
      <c r="J80" s="1119"/>
      <c r="K80" s="2036"/>
      <c r="L80" s="2037"/>
    </row>
    <row r="81" spans="1:12" s="378" customFormat="1" ht="19.5" customHeight="1">
      <c r="A81" s="2009" t="s">
        <v>628</v>
      </c>
      <c r="B81" s="2010"/>
      <c r="C81" s="2010"/>
      <c r="D81" s="2010"/>
      <c r="E81" s="2011"/>
      <c r="F81" s="2036"/>
      <c r="G81" s="2037"/>
      <c r="H81" s="1051"/>
      <c r="I81" s="1052"/>
      <c r="J81" s="1052"/>
      <c r="K81" s="2036"/>
      <c r="L81" s="2037"/>
    </row>
    <row r="82" spans="1:12" s="378" customFormat="1" ht="19.5" customHeight="1">
      <c r="A82" s="2009" t="s">
        <v>601</v>
      </c>
      <c r="B82" s="2010"/>
      <c r="C82" s="2010"/>
      <c r="D82" s="2010"/>
      <c r="E82" s="2011"/>
      <c r="F82" s="2036"/>
      <c r="G82" s="2037"/>
      <c r="H82" s="1051"/>
      <c r="I82" s="1052"/>
      <c r="J82" s="1052"/>
      <c r="K82" s="2036"/>
      <c r="L82" s="2037"/>
    </row>
    <row r="83" spans="1:12" s="498" customFormat="1" ht="19.5" customHeight="1">
      <c r="A83" s="2017" t="s">
        <v>602</v>
      </c>
      <c r="B83" s="2018"/>
      <c r="C83" s="2018"/>
      <c r="D83" s="2018"/>
      <c r="E83" s="2019"/>
      <c r="F83" s="2038"/>
      <c r="G83" s="2039"/>
      <c r="H83" s="1053"/>
      <c r="I83" s="1053"/>
      <c r="J83" s="1054"/>
      <c r="K83" s="2038"/>
      <c r="L83" s="2039"/>
    </row>
    <row r="84" spans="1:12" s="378" customFormat="1" ht="7.5" customHeight="1">
      <c r="A84" s="2020"/>
      <c r="B84" s="2021"/>
      <c r="C84" s="2021"/>
      <c r="D84" s="2021"/>
      <c r="E84" s="2021"/>
      <c r="F84" s="2021"/>
      <c r="G84" s="2021"/>
      <c r="H84" s="2021"/>
      <c r="I84" s="2021"/>
      <c r="J84" s="2021"/>
      <c r="K84" s="2021"/>
      <c r="L84" s="2022"/>
    </row>
    <row r="85" spans="1:12" s="498" customFormat="1" ht="19.5" customHeight="1">
      <c r="A85" s="2040" t="s">
        <v>603</v>
      </c>
      <c r="B85" s="2041"/>
      <c r="C85" s="2041"/>
      <c r="D85" s="2041"/>
      <c r="E85" s="2041"/>
      <c r="F85" s="2041"/>
      <c r="G85" s="2041"/>
      <c r="H85" s="2041"/>
      <c r="I85" s="2041"/>
      <c r="J85" s="2041"/>
      <c r="K85" s="2041"/>
      <c r="L85" s="2042"/>
    </row>
    <row r="86" spans="1:12" s="1057" customFormat="1" ht="74.25" customHeight="1">
      <c r="A86" s="2043" t="s">
        <v>604</v>
      </c>
      <c r="B86" s="2043"/>
      <c r="C86" s="1055" t="s">
        <v>629</v>
      </c>
      <c r="D86" s="1055" t="s">
        <v>630</v>
      </c>
      <c r="E86" s="1055" t="s">
        <v>634</v>
      </c>
      <c r="F86" s="1055" t="s">
        <v>635</v>
      </c>
      <c r="G86" s="1055" t="s">
        <v>636</v>
      </c>
      <c r="H86" s="1055" t="s">
        <v>637</v>
      </c>
      <c r="I86" s="1055" t="s">
        <v>639</v>
      </c>
      <c r="J86" s="1055" t="s">
        <v>640</v>
      </c>
      <c r="K86" s="1055" t="s">
        <v>641</v>
      </c>
      <c r="L86" s="1056" t="s">
        <v>642</v>
      </c>
    </row>
    <row r="87" spans="1:13" s="378" customFormat="1" ht="18" customHeight="1">
      <c r="A87" s="2009" t="s">
        <v>631</v>
      </c>
      <c r="B87" s="2011"/>
      <c r="C87" s="1036">
        <v>321760677.75</v>
      </c>
      <c r="D87" s="1036">
        <v>476470654.19</v>
      </c>
      <c r="E87" s="1036">
        <f>D87-C87</f>
        <v>154709976.44</v>
      </c>
      <c r="F87" s="1036">
        <f>41124585.44+63029467.94</f>
        <v>104154053.38</v>
      </c>
      <c r="G87" s="1036">
        <v>0</v>
      </c>
      <c r="H87" s="1375">
        <f>F87-(E87+G87)</f>
        <v>-50555923.06</v>
      </c>
      <c r="I87" s="1036">
        <f>17153614.53+1580447.25</f>
        <v>18734061.78</v>
      </c>
      <c r="J87" s="1036">
        <f>23871037.81+61441430.69</f>
        <v>85312468.5</v>
      </c>
      <c r="K87" s="1036">
        <f>99933.1+7590</f>
        <v>107523.1</v>
      </c>
      <c r="L87" s="1031">
        <f>(E87+G87)-K87</f>
        <v>154602453.34</v>
      </c>
      <c r="M87" s="920"/>
    </row>
    <row r="88" spans="1:13" s="378" customFormat="1" ht="18" customHeight="1">
      <c r="A88" s="2009" t="s">
        <v>632</v>
      </c>
      <c r="B88" s="2011"/>
      <c r="C88" s="1034">
        <v>315514996.2</v>
      </c>
      <c r="D88" s="1034">
        <v>432087202.27</v>
      </c>
      <c r="E88" s="1036">
        <f>D88-C88</f>
        <v>116572206.07</v>
      </c>
      <c r="F88" s="1034">
        <f>69956936.83+54072283.74</f>
        <v>124029220.57</v>
      </c>
      <c r="G88" s="1034">
        <v>0</v>
      </c>
      <c r="H88" s="1375">
        <f>F88-(E88+G88)</f>
        <v>7457014.5</v>
      </c>
      <c r="I88" s="1034">
        <f>42231229.44+42706344.54</f>
        <v>84937573.97999999</v>
      </c>
      <c r="J88" s="1034">
        <f>1625173.18+450000</f>
        <v>2075173.18</v>
      </c>
      <c r="K88" s="1034">
        <f>26100534.21+10915939.2</f>
        <v>37016473.41</v>
      </c>
      <c r="L88" s="1031">
        <f>(E88+G88)-K88</f>
        <v>79555732.66</v>
      </c>
      <c r="M88" s="920"/>
    </row>
    <row r="89" spans="1:13" s="378" customFormat="1" ht="18" customHeight="1">
      <c r="A89" s="2009" t="s">
        <v>605</v>
      </c>
      <c r="B89" s="2011"/>
      <c r="C89" s="1034">
        <v>285917559.77</v>
      </c>
      <c r="D89" s="1034">
        <v>467960426.22</v>
      </c>
      <c r="E89" s="1036">
        <f>D89-C89</f>
        <v>182042866.45000005</v>
      </c>
      <c r="F89" s="1034">
        <v>116537532.02</v>
      </c>
      <c r="G89" s="1034">
        <v>0</v>
      </c>
      <c r="H89" s="1375">
        <f>F89-(E89+G89)</f>
        <v>-65505334.43000005</v>
      </c>
      <c r="I89" s="1034">
        <f>1127774.29+207662.8+60674919.99+26043373.07</f>
        <v>88053730.15</v>
      </c>
      <c r="J89" s="1034">
        <f>114636.13+17500</f>
        <v>132136.13</v>
      </c>
      <c r="K89" s="1034">
        <f>729124.15+23968877.26+3653664.33</f>
        <v>28351665.740000002</v>
      </c>
      <c r="L89" s="1031">
        <f>(E89+G89)-K89</f>
        <v>153691200.71000004</v>
      </c>
      <c r="M89" s="1370"/>
    </row>
    <row r="90" spans="1:13" s="378" customFormat="1" ht="18" customHeight="1">
      <c r="A90" s="2009" t="s">
        <v>606</v>
      </c>
      <c r="B90" s="2011"/>
      <c r="C90" s="1034">
        <v>263324578.41</v>
      </c>
      <c r="D90" s="1034">
        <v>473362869.12</v>
      </c>
      <c r="E90" s="1036">
        <f>D90-C90</f>
        <v>210038290.71</v>
      </c>
      <c r="F90" s="1034">
        <v>51128860.12</v>
      </c>
      <c r="G90" s="1034">
        <v>0</v>
      </c>
      <c r="H90" s="1375">
        <f>F90-(E90+G90)</f>
        <v>-158909430.59</v>
      </c>
      <c r="I90" s="1034">
        <f>554605.47+136823.9+21614677.15+7991154.53+530998.91</f>
        <v>30828259.96</v>
      </c>
      <c r="J90" s="1034">
        <f>3505080.84+4823.91</f>
        <v>3509904.75</v>
      </c>
      <c r="K90" s="1034">
        <f>199999+8751333.65+7839362.76</f>
        <v>16790695.41</v>
      </c>
      <c r="L90" s="1031">
        <f>(E90+G90)-K90</f>
        <v>193247595.3</v>
      </c>
      <c r="M90" s="920"/>
    </row>
    <row r="91" spans="1:13" s="378" customFormat="1" ht="18" customHeight="1">
      <c r="A91" s="2009" t="s">
        <v>633</v>
      </c>
      <c r="B91" s="2011"/>
      <c r="C91" s="1034">
        <f>253231836.99+231744616.84</f>
        <v>484976453.83000004</v>
      </c>
      <c r="D91" s="1034">
        <f>482424321.07+388375984.3</f>
        <v>870800305.37</v>
      </c>
      <c r="E91" s="1036">
        <f>D91-C91</f>
        <v>385823851.53999996</v>
      </c>
      <c r="F91" s="1034">
        <v>154475111.08</v>
      </c>
      <c r="G91" s="1034">
        <v>0</v>
      </c>
      <c r="H91" s="1375">
        <f>F91-(E91+G91)</f>
        <v>-231348740.45999995</v>
      </c>
      <c r="I91" s="1034">
        <v>94740308.7</v>
      </c>
      <c r="J91" s="1034">
        <v>1724526.72</v>
      </c>
      <c r="K91" s="1120">
        <v>58010275.66</v>
      </c>
      <c r="L91" s="1121">
        <f>(E91+G91)-K91</f>
        <v>327813575.88</v>
      </c>
      <c r="M91" s="1370"/>
    </row>
    <row r="92" spans="1:13" s="378" customFormat="1" ht="14.25">
      <c r="A92" s="1122"/>
      <c r="B92" s="1123"/>
      <c r="C92" s="1123"/>
      <c r="D92" s="1123"/>
      <c r="E92" s="1124"/>
      <c r="F92" s="1124"/>
      <c r="G92" s="1125"/>
      <c r="H92" s="1125"/>
      <c r="I92" s="1125"/>
      <c r="J92" s="1124"/>
      <c r="K92" s="1058"/>
      <c r="L92" s="1126"/>
      <c r="M92" s="1370"/>
    </row>
    <row r="93" spans="1:13" s="378" customFormat="1" ht="19.5" customHeight="1">
      <c r="A93" s="2017" t="s">
        <v>643</v>
      </c>
      <c r="B93" s="2018"/>
      <c r="C93" s="2018"/>
      <c r="D93" s="2018"/>
      <c r="E93" s="2018"/>
      <c r="F93" s="2018"/>
      <c r="G93" s="2018"/>
      <c r="H93" s="2018"/>
      <c r="I93" s="2018"/>
      <c r="J93" s="2018"/>
      <c r="K93" s="2018"/>
      <c r="L93" s="1061">
        <v>0</v>
      </c>
      <c r="M93" s="1370"/>
    </row>
    <row r="94" spans="1:13" s="378" customFormat="1" ht="19.5" customHeight="1">
      <c r="A94" s="2017" t="s">
        <v>645</v>
      </c>
      <c r="B94" s="2018"/>
      <c r="C94" s="2018"/>
      <c r="D94" s="2018"/>
      <c r="E94" s="2018"/>
      <c r="F94" s="2018"/>
      <c r="G94" s="2018"/>
      <c r="H94" s="2018"/>
      <c r="I94" s="2018"/>
      <c r="J94" s="2018"/>
      <c r="K94" s="2018"/>
      <c r="L94" s="1061">
        <v>0</v>
      </c>
      <c r="M94" s="920"/>
    </row>
    <row r="95" spans="1:12" s="378" customFormat="1" ht="19.5" customHeight="1">
      <c r="A95" s="2017" t="s">
        <v>646</v>
      </c>
      <c r="B95" s="2018"/>
      <c r="C95" s="2018"/>
      <c r="D95" s="2018"/>
      <c r="E95" s="2018"/>
      <c r="F95" s="2018"/>
      <c r="G95" s="2018"/>
      <c r="H95" s="2018"/>
      <c r="I95" s="2018"/>
      <c r="J95" s="2018"/>
      <c r="K95" s="2018"/>
      <c r="L95" s="1061">
        <v>0</v>
      </c>
    </row>
    <row r="96" spans="1:12" s="378" customFormat="1" ht="14.25">
      <c r="A96" s="2044"/>
      <c r="B96" s="2045"/>
      <c r="C96" s="2045"/>
      <c r="D96" s="2045"/>
      <c r="E96" s="2045"/>
      <c r="F96" s="2045"/>
      <c r="G96" s="2045"/>
      <c r="H96" s="2045"/>
      <c r="I96" s="2045"/>
      <c r="J96" s="2045"/>
      <c r="K96" s="2045"/>
      <c r="L96" s="2046"/>
    </row>
    <row r="97" spans="1:12" s="378" customFormat="1" ht="15.75" customHeight="1">
      <c r="A97" s="2047" t="s">
        <v>953</v>
      </c>
      <c r="B97" s="2048"/>
      <c r="C97" s="2048"/>
      <c r="D97" s="2048"/>
      <c r="E97" s="2048"/>
      <c r="F97" s="2048"/>
      <c r="G97" s="2049"/>
      <c r="H97" s="2040" t="s">
        <v>294</v>
      </c>
      <c r="I97" s="2041"/>
      <c r="J97" s="2041"/>
      <c r="K97" s="2041"/>
      <c r="L97" s="2042"/>
    </row>
    <row r="98" spans="1:13" s="378" customFormat="1" ht="14.25">
      <c r="A98" s="2050"/>
      <c r="B98" s="2051"/>
      <c r="C98" s="2051"/>
      <c r="D98" s="2051"/>
      <c r="E98" s="2051"/>
      <c r="F98" s="2051"/>
      <c r="G98" s="2051"/>
      <c r="H98" s="2052" t="s">
        <v>650</v>
      </c>
      <c r="I98" s="2040" t="s">
        <v>607</v>
      </c>
      <c r="J98" s="2041"/>
      <c r="K98" s="2042"/>
      <c r="L98" s="2054" t="s">
        <v>654</v>
      </c>
      <c r="M98" s="1370"/>
    </row>
    <row r="99" spans="1:12" s="378" customFormat="1" ht="22.5" customHeight="1">
      <c r="A99" s="2050"/>
      <c r="B99" s="2051"/>
      <c r="C99" s="2051"/>
      <c r="D99" s="2051"/>
      <c r="E99" s="2051"/>
      <c r="F99" s="2051"/>
      <c r="G99" s="2051"/>
      <c r="H99" s="2053"/>
      <c r="I99" s="1062" t="s">
        <v>651</v>
      </c>
      <c r="J99" s="1062" t="s">
        <v>652</v>
      </c>
      <c r="K99" s="1062" t="s">
        <v>653</v>
      </c>
      <c r="L99" s="2055"/>
    </row>
    <row r="100" spans="1:12" s="378" customFormat="1" ht="16.5" customHeight="1">
      <c r="A100" s="2056" t="s">
        <v>644</v>
      </c>
      <c r="B100" s="2057"/>
      <c r="C100" s="2057"/>
      <c r="D100" s="2057"/>
      <c r="E100" s="2057"/>
      <c r="F100" s="2057"/>
      <c r="G100" s="2058"/>
      <c r="H100" s="1063"/>
      <c r="I100" s="1064"/>
      <c r="J100" s="1065"/>
      <c r="K100" s="1065"/>
      <c r="L100" s="1034">
        <f>H100-I100</f>
        <v>0</v>
      </c>
    </row>
    <row r="101" spans="1:12" s="378" customFormat="1" ht="16.5" customHeight="1">
      <c r="A101" s="2056" t="s">
        <v>647</v>
      </c>
      <c r="B101" s="2057"/>
      <c r="C101" s="2057"/>
      <c r="D101" s="2057"/>
      <c r="E101" s="2057"/>
      <c r="F101" s="2057"/>
      <c r="G101" s="2058"/>
      <c r="H101" s="1063"/>
      <c r="I101" s="1064"/>
      <c r="J101" s="1065"/>
      <c r="K101" s="1065"/>
      <c r="L101" s="1034">
        <f>H101-I101</f>
        <v>0</v>
      </c>
    </row>
    <row r="102" spans="1:12" s="378" customFormat="1" ht="19.5" customHeight="1">
      <c r="A102" s="2056" t="s">
        <v>648</v>
      </c>
      <c r="B102" s="2057"/>
      <c r="C102" s="2057"/>
      <c r="D102" s="2057"/>
      <c r="E102" s="2057"/>
      <c r="F102" s="2057"/>
      <c r="G102" s="2058"/>
      <c r="H102" s="1066"/>
      <c r="I102" s="1064"/>
      <c r="J102" s="1065"/>
      <c r="K102" s="1065"/>
      <c r="L102" s="1034">
        <f>H102-I102</f>
        <v>0</v>
      </c>
    </row>
    <row r="103" spans="1:12" s="378" customFormat="1" ht="21.75" customHeight="1">
      <c r="A103" s="2059" t="s">
        <v>649</v>
      </c>
      <c r="B103" s="2059"/>
      <c r="C103" s="2059"/>
      <c r="D103" s="2059"/>
      <c r="E103" s="2059"/>
      <c r="F103" s="2059"/>
      <c r="G103" s="2059"/>
      <c r="H103" s="1067">
        <f>L93</f>
        <v>0</v>
      </c>
      <c r="I103" s="1054"/>
      <c r="J103" s="1068"/>
      <c r="K103" s="1068"/>
      <c r="L103" s="1069">
        <f>H103-I103</f>
        <v>0</v>
      </c>
    </row>
    <row r="104" spans="1:12" s="378" customFormat="1" ht="10.5" customHeight="1">
      <c r="A104" s="1070"/>
      <c r="B104" s="1071"/>
      <c r="C104" s="1072"/>
      <c r="D104" s="1072"/>
      <c r="E104" s="1071"/>
      <c r="F104" s="1071"/>
      <c r="G104" s="1071"/>
      <c r="H104" s="1071"/>
      <c r="I104" s="1059"/>
      <c r="J104" s="1073"/>
      <c r="K104" s="1060"/>
      <c r="L104" s="1022"/>
    </row>
    <row r="105" spans="1:12" s="378" customFormat="1" ht="15.75" customHeight="1">
      <c r="A105" s="1936" t="s">
        <v>608</v>
      </c>
      <c r="B105" s="1937"/>
      <c r="C105" s="1937"/>
      <c r="D105" s="1937"/>
      <c r="E105" s="1938"/>
      <c r="F105" s="2060" t="s">
        <v>190</v>
      </c>
      <c r="G105" s="2060"/>
      <c r="H105" s="2061" t="s">
        <v>609</v>
      </c>
      <c r="I105" s="2062"/>
      <c r="J105" s="2063" t="s">
        <v>145</v>
      </c>
      <c r="K105" s="2064"/>
      <c r="L105" s="2065"/>
    </row>
    <row r="106" spans="1:12" s="378" customFormat="1" ht="26.25" customHeight="1">
      <c r="A106" s="1942"/>
      <c r="B106" s="1943"/>
      <c r="C106" s="1943"/>
      <c r="D106" s="1943"/>
      <c r="E106" s="1944"/>
      <c r="F106" s="2060"/>
      <c r="G106" s="2060"/>
      <c r="H106" s="2002"/>
      <c r="I106" s="2003"/>
      <c r="J106" s="2066" t="s">
        <v>610</v>
      </c>
      <c r="K106" s="2067"/>
      <c r="L106" s="1074" t="s">
        <v>611</v>
      </c>
    </row>
    <row r="107" spans="1:12" s="498" customFormat="1" ht="18.75" customHeight="1">
      <c r="A107" s="1996" t="s">
        <v>655</v>
      </c>
      <c r="B107" s="1997"/>
      <c r="C107" s="1997"/>
      <c r="D107" s="1997"/>
      <c r="E107" s="1998"/>
      <c r="F107" s="2068">
        <f>F108+F109+F110</f>
        <v>438419496</v>
      </c>
      <c r="G107" s="2069"/>
      <c r="H107" s="2068">
        <f>H108+H109+H110</f>
        <v>438419496</v>
      </c>
      <c r="I107" s="2069"/>
      <c r="J107" s="2068">
        <f>J108+J109+J110</f>
        <v>55377560.71</v>
      </c>
      <c r="K107" s="2069"/>
      <c r="L107" s="1075">
        <f aca="true" t="shared" si="6" ref="L107:L113">J107/H107*100</f>
        <v>12.631181143915187</v>
      </c>
    </row>
    <row r="108" spans="1:12" s="378" customFormat="1" ht="18" customHeight="1">
      <c r="A108" s="1971" t="s">
        <v>526</v>
      </c>
      <c r="B108" s="1972"/>
      <c r="C108" s="1972"/>
      <c r="D108" s="1972"/>
      <c r="E108" s="1973"/>
      <c r="F108" s="2070">
        <v>431940816</v>
      </c>
      <c r="G108" s="2071"/>
      <c r="H108" s="2070">
        <f>F108</f>
        <v>431940816</v>
      </c>
      <c r="I108" s="2071"/>
      <c r="J108" s="2070">
        <v>54934031.25</v>
      </c>
      <c r="K108" s="2071"/>
      <c r="L108" s="1075">
        <f t="shared" si="6"/>
        <v>12.717953297101703</v>
      </c>
    </row>
    <row r="109" spans="1:12" s="378" customFormat="1" ht="18" customHeight="1">
      <c r="A109" s="1971" t="s">
        <v>527</v>
      </c>
      <c r="B109" s="1972"/>
      <c r="C109" s="1972"/>
      <c r="D109" s="1972"/>
      <c r="E109" s="1973"/>
      <c r="F109" s="2070">
        <v>6478680</v>
      </c>
      <c r="G109" s="2071"/>
      <c r="H109" s="2070">
        <f>F109</f>
        <v>6478680</v>
      </c>
      <c r="I109" s="2071"/>
      <c r="J109" s="2070">
        <v>443529.46</v>
      </c>
      <c r="K109" s="2071"/>
      <c r="L109" s="1075">
        <f t="shared" si="6"/>
        <v>6.845984984595628</v>
      </c>
    </row>
    <row r="110" spans="1:12" s="378" customFormat="1" ht="18" customHeight="1">
      <c r="A110" s="1971" t="s">
        <v>528</v>
      </c>
      <c r="B110" s="1972"/>
      <c r="C110" s="1972"/>
      <c r="D110" s="1972"/>
      <c r="E110" s="1973"/>
      <c r="F110" s="2068">
        <v>0</v>
      </c>
      <c r="G110" s="2069"/>
      <c r="H110" s="2068"/>
      <c r="I110" s="2069"/>
      <c r="J110" s="2068"/>
      <c r="K110" s="2069"/>
      <c r="L110" s="1075" t="e">
        <f t="shared" si="6"/>
        <v>#DIV/0!</v>
      </c>
    </row>
    <row r="111" spans="1:12" s="498" customFormat="1" ht="18" customHeight="1">
      <c r="A111" s="1996" t="s">
        <v>656</v>
      </c>
      <c r="B111" s="1997"/>
      <c r="C111" s="1997"/>
      <c r="D111" s="1997"/>
      <c r="E111" s="1998"/>
      <c r="F111" s="2068"/>
      <c r="G111" s="2069"/>
      <c r="H111" s="2068"/>
      <c r="I111" s="2069"/>
      <c r="J111" s="2068"/>
      <c r="K111" s="2069"/>
      <c r="L111" s="1075" t="e">
        <f t="shared" si="6"/>
        <v>#DIV/0!</v>
      </c>
    </row>
    <row r="112" spans="1:12" s="498" customFormat="1" ht="18" customHeight="1">
      <c r="A112" s="1996" t="s">
        <v>657</v>
      </c>
      <c r="B112" s="1997"/>
      <c r="C112" s="1997"/>
      <c r="D112" s="1997"/>
      <c r="E112" s="1998"/>
      <c r="F112" s="2068">
        <v>278377</v>
      </c>
      <c r="G112" s="2069"/>
      <c r="H112" s="2068">
        <f>F112</f>
        <v>278377</v>
      </c>
      <c r="I112" s="2069"/>
      <c r="J112" s="2068">
        <v>0</v>
      </c>
      <c r="K112" s="2069"/>
      <c r="L112" s="1075">
        <f t="shared" si="6"/>
        <v>0</v>
      </c>
    </row>
    <row r="113" spans="1:12" s="378" customFormat="1" ht="22.5" customHeight="1">
      <c r="A113" s="1974" t="s">
        <v>658</v>
      </c>
      <c r="B113" s="1975"/>
      <c r="C113" s="1975"/>
      <c r="D113" s="1975"/>
      <c r="E113" s="1975"/>
      <c r="F113" s="2072">
        <f>F107+F111+F112</f>
        <v>438697873</v>
      </c>
      <c r="G113" s="1938"/>
      <c r="H113" s="2072">
        <f>H107+H111+H112</f>
        <v>438697873</v>
      </c>
      <c r="I113" s="1938"/>
      <c r="J113" s="2072">
        <f>J107+J111+J112</f>
        <v>55377560.71</v>
      </c>
      <c r="K113" s="1938"/>
      <c r="L113" s="1371">
        <f t="shared" si="6"/>
        <v>12.623165991506871</v>
      </c>
    </row>
    <row r="114" spans="1:12" s="378" customFormat="1" ht="26.25" customHeight="1">
      <c r="A114" s="1043"/>
      <c r="B114" s="1043"/>
      <c r="C114" s="1043"/>
      <c r="D114" s="1043"/>
      <c r="E114" s="1043"/>
      <c r="F114" s="1076"/>
      <c r="G114" s="1077"/>
      <c r="H114" s="1076"/>
      <c r="I114" s="1077"/>
      <c r="J114" s="1076"/>
      <c r="K114" s="1077"/>
      <c r="L114" s="1078"/>
    </row>
    <row r="115" spans="1:12" s="378" customFormat="1" ht="17.25" customHeight="1">
      <c r="A115" s="1045"/>
      <c r="B115" s="1045"/>
      <c r="C115" s="1045"/>
      <c r="D115" s="1045"/>
      <c r="E115" s="1045"/>
      <c r="F115" s="1079"/>
      <c r="G115" s="1080"/>
      <c r="H115" s="1079"/>
      <c r="I115" s="1080"/>
      <c r="J115" s="1079"/>
      <c r="K115" s="1080"/>
      <c r="L115" s="1081"/>
    </row>
    <row r="116" spans="1:12" s="378" customFormat="1" ht="26.25" customHeight="1">
      <c r="A116" s="1045"/>
      <c r="B116" s="1045"/>
      <c r="C116" s="1045"/>
      <c r="D116" s="1045"/>
      <c r="E116" s="1045"/>
      <c r="F116" s="1079"/>
      <c r="G116" s="1080"/>
      <c r="H116" s="1079"/>
      <c r="I116" s="1080"/>
      <c r="J116" s="1079"/>
      <c r="K116" s="1080"/>
      <c r="L116" s="1081"/>
    </row>
    <row r="117" spans="1:12" s="378" customFormat="1" ht="26.25" customHeight="1">
      <c r="A117" s="1946" t="s">
        <v>612</v>
      </c>
      <c r="B117" s="1946"/>
      <c r="C117" s="1946"/>
      <c r="D117" s="1946"/>
      <c r="E117" s="1946"/>
      <c r="F117" s="1946"/>
      <c r="G117" s="1946"/>
      <c r="H117" s="1946"/>
      <c r="I117" s="1946"/>
      <c r="J117" s="1946"/>
      <c r="K117" s="1946"/>
      <c r="L117" s="1946"/>
    </row>
    <row r="118" spans="1:12" s="378" customFormat="1" ht="25.5" customHeight="1">
      <c r="A118" s="2073" t="s">
        <v>613</v>
      </c>
      <c r="B118" s="2074"/>
      <c r="C118" s="2075"/>
      <c r="D118" s="2079" t="s">
        <v>194</v>
      </c>
      <c r="E118" s="2079" t="s">
        <v>614</v>
      </c>
      <c r="F118" s="2081" t="s">
        <v>242</v>
      </c>
      <c r="G118" s="2082"/>
      <c r="H118" s="2081" t="s">
        <v>156</v>
      </c>
      <c r="I118" s="2082"/>
      <c r="J118" s="2083" t="s">
        <v>570</v>
      </c>
      <c r="K118" s="2084"/>
      <c r="L118" s="2085" t="s">
        <v>615</v>
      </c>
    </row>
    <row r="119" spans="1:12" s="378" customFormat="1" ht="41.25" customHeight="1">
      <c r="A119" s="2076"/>
      <c r="B119" s="2077"/>
      <c r="C119" s="2078"/>
      <c r="D119" s="2080"/>
      <c r="E119" s="2080"/>
      <c r="F119" s="1082" t="s">
        <v>616</v>
      </c>
      <c r="G119" s="1082" t="s">
        <v>573</v>
      </c>
      <c r="H119" s="1082" t="s">
        <v>617</v>
      </c>
      <c r="I119" s="1082" t="s">
        <v>575</v>
      </c>
      <c r="J119" s="1082" t="s">
        <v>618</v>
      </c>
      <c r="K119" s="1082" t="s">
        <v>576</v>
      </c>
      <c r="L119" s="2086"/>
    </row>
    <row r="120" spans="1:12" s="498" customFormat="1" ht="18" customHeight="1">
      <c r="A120" s="2087" t="s">
        <v>659</v>
      </c>
      <c r="B120" s="2088"/>
      <c r="C120" s="2089"/>
      <c r="D120" s="1083">
        <f>D121+D122</f>
        <v>84552760.41</v>
      </c>
      <c r="E120" s="1083">
        <f>E121+E122</f>
        <v>98028416.28</v>
      </c>
      <c r="F120" s="1083">
        <f>F121+F122</f>
        <v>37152387.910000004</v>
      </c>
      <c r="G120" s="1029">
        <f>F120/E120*100</f>
        <v>37.89961045976821</v>
      </c>
      <c r="H120" s="1083">
        <f>H121+H122</f>
        <v>4753946.5</v>
      </c>
      <c r="I120" s="1029">
        <f>H120/E120*100</f>
        <v>4.8495596281197</v>
      </c>
      <c r="J120" s="1083">
        <f>J121+J122</f>
        <v>4753946.5</v>
      </c>
      <c r="K120" s="1029">
        <f>J120/E120*100</f>
        <v>4.8495596281197</v>
      </c>
      <c r="L120" s="1083">
        <f>L121+L122</f>
        <v>0</v>
      </c>
    </row>
    <row r="121" spans="1:13" s="378" customFormat="1" ht="18" customHeight="1">
      <c r="A121" s="2090" t="s">
        <v>150</v>
      </c>
      <c r="B121" s="2091"/>
      <c r="C121" s="2092"/>
      <c r="D121" s="1084">
        <f>48134687.35+27355331-4950000-4778000</f>
        <v>65762018.349999994</v>
      </c>
      <c r="E121" s="1084">
        <f>D121+3000000+8855477.87-1000000+1000000</f>
        <v>77617496.22</v>
      </c>
      <c r="F121" s="1085">
        <f>39611283.56+2208837.68-3600000-1067733.33</f>
        <v>37152387.910000004</v>
      </c>
      <c r="G121" s="1029">
        <f aca="true" t="shared" si="7" ref="G121:G141">F121/E121*100</f>
        <v>47.86599635305784</v>
      </c>
      <c r="H121" s="1085">
        <f>5813483.82+453398-1059537.32-453398</f>
        <v>4753946.5</v>
      </c>
      <c r="I121" s="1029">
        <f aca="true" t="shared" si="8" ref="I121:I141">H121/E121*100</f>
        <v>6.1248387689875425</v>
      </c>
      <c r="J121" s="999">
        <f>5136976.75-383030.25</f>
        <v>4753946.5</v>
      </c>
      <c r="K121" s="1029">
        <f aca="true" t="shared" si="9" ref="K121:K141">J121/E121*100</f>
        <v>6.1248387689875425</v>
      </c>
      <c r="L121" s="1086"/>
      <c r="M121" s="1370"/>
    </row>
    <row r="122" spans="1:12" s="378" customFormat="1" ht="18" customHeight="1">
      <c r="A122" s="2090" t="s">
        <v>151</v>
      </c>
      <c r="B122" s="2091"/>
      <c r="C122" s="2092"/>
      <c r="D122" s="1084">
        <f>18850742.06-60000</f>
        <v>18790742.06</v>
      </c>
      <c r="E122" s="1084">
        <f>D122+1620178</f>
        <v>20410920.06</v>
      </c>
      <c r="F122" s="1085"/>
      <c r="G122" s="1029">
        <f t="shared" si="7"/>
        <v>0</v>
      </c>
      <c r="H122" s="1085"/>
      <c r="I122" s="1029">
        <f t="shared" si="8"/>
        <v>0</v>
      </c>
      <c r="J122" s="999"/>
      <c r="K122" s="1029">
        <f t="shared" si="9"/>
        <v>0</v>
      </c>
      <c r="L122" s="1086"/>
    </row>
    <row r="123" spans="1:12" s="498" customFormat="1" ht="18" customHeight="1">
      <c r="A123" s="2087" t="s">
        <v>660</v>
      </c>
      <c r="B123" s="2088"/>
      <c r="C123" s="2089"/>
      <c r="D123" s="1083">
        <f>D124+D125</f>
        <v>318211589.99</v>
      </c>
      <c r="E123" s="1083">
        <f>E124+E125</f>
        <v>335014071.69</v>
      </c>
      <c r="F123" s="1083">
        <f>F124+F125</f>
        <v>140323486.73000005</v>
      </c>
      <c r="G123" s="1029">
        <f t="shared" si="7"/>
        <v>41.885848562160156</v>
      </c>
      <c r="H123" s="1083">
        <f>H124+H125</f>
        <v>15437623.219999999</v>
      </c>
      <c r="I123" s="1029">
        <f t="shared" si="8"/>
        <v>4.6080521758754545</v>
      </c>
      <c r="J123" s="1083">
        <f>J124+J125</f>
        <v>5243757.230000001</v>
      </c>
      <c r="K123" s="1029">
        <f t="shared" si="9"/>
        <v>1.5652349179088303</v>
      </c>
      <c r="L123" s="1083">
        <f>L124+L125</f>
        <v>0</v>
      </c>
    </row>
    <row r="124" spans="1:13" s="378" customFormat="1" ht="18" customHeight="1">
      <c r="A124" s="2090" t="s">
        <v>150</v>
      </c>
      <c r="B124" s="2091"/>
      <c r="C124" s="2092"/>
      <c r="D124" s="1084">
        <f>255839281.6+241791964.79-196597373-13779588</f>
        <v>287254285.39</v>
      </c>
      <c r="E124" s="1084">
        <f>D124+3046082.17-3100000+16523096.53-2000000+2000000</f>
        <v>303723464.09</v>
      </c>
      <c r="F124" s="1085">
        <f>242903512.77+96263504.31-196577373-2266157.35</f>
        <v>140323486.73000005</v>
      </c>
      <c r="G124" s="1029">
        <f t="shared" si="7"/>
        <v>46.201068840838424</v>
      </c>
      <c r="H124" s="1085">
        <f>29066688.72+11565656.5-24542635.25-652086.75</f>
        <v>15437623.219999999</v>
      </c>
      <c r="I124" s="1029">
        <f t="shared" si="8"/>
        <v>5.082789130649942</v>
      </c>
      <c r="J124" s="999">
        <f>26540325.04+765403.01-22041511.02-20459.8</f>
        <v>5243757.230000001</v>
      </c>
      <c r="K124" s="1029">
        <f t="shared" si="9"/>
        <v>1.7264906567923775</v>
      </c>
      <c r="L124" s="1086"/>
      <c r="M124" s="1370"/>
    </row>
    <row r="125" spans="1:13" s="378" customFormat="1" ht="18" customHeight="1">
      <c r="A125" s="2090" t="s">
        <v>151</v>
      </c>
      <c r="B125" s="2091"/>
      <c r="C125" s="2092"/>
      <c r="D125" s="1364">
        <f>31087304.6-130000</f>
        <v>30957304.6</v>
      </c>
      <c r="E125" s="1084">
        <f>D125+648473-315170</f>
        <v>31290607.6</v>
      </c>
      <c r="F125" s="1085"/>
      <c r="G125" s="1029">
        <f t="shared" si="7"/>
        <v>0</v>
      </c>
      <c r="H125" s="1085"/>
      <c r="I125" s="1029">
        <f t="shared" si="8"/>
        <v>0</v>
      </c>
      <c r="J125" s="999"/>
      <c r="K125" s="1029">
        <f t="shared" si="9"/>
        <v>0</v>
      </c>
      <c r="L125" s="1086"/>
      <c r="M125" s="1370"/>
    </row>
    <row r="126" spans="1:12" s="498" customFormat="1" ht="18" customHeight="1">
      <c r="A126" s="2087" t="s">
        <v>661</v>
      </c>
      <c r="B126" s="2088"/>
      <c r="C126" s="2089"/>
      <c r="D126" s="1083">
        <f>D127+D128</f>
        <v>24761821.93</v>
      </c>
      <c r="E126" s="1083">
        <f>E127+E128</f>
        <v>28155285.43</v>
      </c>
      <c r="F126" s="1083">
        <f>F127+F128</f>
        <v>14400</v>
      </c>
      <c r="G126" s="1029">
        <f t="shared" si="7"/>
        <v>0.051144926361345</v>
      </c>
      <c r="H126" s="1083">
        <f>H127+H128</f>
        <v>0</v>
      </c>
      <c r="I126" s="1029">
        <f t="shared" si="8"/>
        <v>0</v>
      </c>
      <c r="J126" s="1083">
        <f>J127+J128</f>
        <v>0</v>
      </c>
      <c r="K126" s="1029">
        <f t="shared" si="9"/>
        <v>0</v>
      </c>
      <c r="L126" s="1087"/>
    </row>
    <row r="127" spans="1:13" s="378" customFormat="1" ht="18" customHeight="1">
      <c r="A127" s="2090" t="s">
        <v>150</v>
      </c>
      <c r="B127" s="2091"/>
      <c r="C127" s="2092"/>
      <c r="D127" s="1084">
        <f>25006821.93-700000</f>
        <v>24306821.93</v>
      </c>
      <c r="E127" s="1084">
        <f>D127+3393463.5</f>
        <v>27700285.43</v>
      </c>
      <c r="F127" s="1085">
        <v>14400</v>
      </c>
      <c r="G127" s="1029">
        <f t="shared" si="7"/>
        <v>0.051985023895834995</v>
      </c>
      <c r="H127" s="1085">
        <v>0</v>
      </c>
      <c r="I127" s="1029">
        <f t="shared" si="8"/>
        <v>0</v>
      </c>
      <c r="J127" s="999">
        <v>0</v>
      </c>
      <c r="K127" s="1029">
        <f t="shared" si="9"/>
        <v>0</v>
      </c>
      <c r="L127" s="1086"/>
      <c r="M127" s="1370"/>
    </row>
    <row r="128" spans="1:12" s="378" customFormat="1" ht="18" customHeight="1">
      <c r="A128" s="2090" t="s">
        <v>151</v>
      </c>
      <c r="B128" s="2091"/>
      <c r="C128" s="2092"/>
      <c r="D128" s="1084">
        <v>455000</v>
      </c>
      <c r="E128" s="1084">
        <f>D128</f>
        <v>455000</v>
      </c>
      <c r="F128" s="1085">
        <v>0</v>
      </c>
      <c r="G128" s="1029">
        <f t="shared" si="7"/>
        <v>0</v>
      </c>
      <c r="H128" s="1085">
        <v>0</v>
      </c>
      <c r="I128" s="1029">
        <f t="shared" si="8"/>
        <v>0</v>
      </c>
      <c r="J128" s="999">
        <v>0</v>
      </c>
      <c r="K128" s="1029">
        <f t="shared" si="9"/>
        <v>0</v>
      </c>
      <c r="L128" s="1086"/>
    </row>
    <row r="129" spans="1:12" s="498" customFormat="1" ht="18" customHeight="1">
      <c r="A129" s="2087" t="s">
        <v>662</v>
      </c>
      <c r="B129" s="2088"/>
      <c r="C129" s="2089"/>
      <c r="D129" s="1083">
        <f>D130+D131</f>
        <v>661130.4</v>
      </c>
      <c r="E129" s="1083">
        <f>E130+E131</f>
        <v>661130.4</v>
      </c>
      <c r="F129" s="1083">
        <f>F130+F131</f>
        <v>383166.32</v>
      </c>
      <c r="G129" s="1029">
        <f t="shared" si="7"/>
        <v>57.956239797776654</v>
      </c>
      <c r="H129" s="1083">
        <f>H130+H131</f>
        <v>55300</v>
      </c>
      <c r="I129" s="1029">
        <f t="shared" si="8"/>
        <v>8.36446183687817</v>
      </c>
      <c r="J129" s="1083">
        <f>J130+J131</f>
        <v>55300</v>
      </c>
      <c r="K129" s="1029">
        <f t="shared" si="9"/>
        <v>8.36446183687817</v>
      </c>
      <c r="L129" s="1083">
        <f>L130+L131</f>
        <v>0</v>
      </c>
    </row>
    <row r="130" spans="1:12" s="378" customFormat="1" ht="18" customHeight="1">
      <c r="A130" s="2090" t="s">
        <v>150</v>
      </c>
      <c r="B130" s="2091"/>
      <c r="C130" s="2092"/>
      <c r="D130" s="1032">
        <f>481130.4+480000-100000-200000</f>
        <v>661130.4</v>
      </c>
      <c r="E130" s="1035">
        <f>D130</f>
        <v>661130.4</v>
      </c>
      <c r="F130" s="930">
        <f>381130.4+2035.92</f>
        <v>383166.32</v>
      </c>
      <c r="G130" s="1029">
        <f t="shared" si="7"/>
        <v>57.956239797776654</v>
      </c>
      <c r="H130" s="1088">
        <v>55300</v>
      </c>
      <c r="I130" s="1029">
        <f t="shared" si="8"/>
        <v>8.36446183687817</v>
      </c>
      <c r="J130" s="1033">
        <v>55300</v>
      </c>
      <c r="K130" s="1029">
        <f t="shared" si="9"/>
        <v>8.36446183687817</v>
      </c>
      <c r="L130" s="1034"/>
    </row>
    <row r="131" spans="1:12" s="378" customFormat="1" ht="18" customHeight="1">
      <c r="A131" s="2090" t="s">
        <v>151</v>
      </c>
      <c r="B131" s="2091"/>
      <c r="C131" s="2092"/>
      <c r="D131" s="1035"/>
      <c r="E131" s="1035"/>
      <c r="F131" s="930"/>
      <c r="G131" s="1037"/>
      <c r="H131" s="930"/>
      <c r="I131" s="1037"/>
      <c r="J131" s="1039"/>
      <c r="K131" s="1037"/>
      <c r="L131" s="1034"/>
    </row>
    <row r="132" spans="1:12" s="498" customFormat="1" ht="18" customHeight="1">
      <c r="A132" s="1947" t="s">
        <v>663</v>
      </c>
      <c r="B132" s="1948"/>
      <c r="C132" s="1949"/>
      <c r="D132" s="1089">
        <f>D133+D134</f>
        <v>22405678.25</v>
      </c>
      <c r="E132" s="1089">
        <f>E133+E134</f>
        <v>28461678.25</v>
      </c>
      <c r="F132" s="1089">
        <f>F133+F134</f>
        <v>13576420.379999999</v>
      </c>
      <c r="G132" s="1029">
        <f t="shared" si="7"/>
        <v>47.700702188916075</v>
      </c>
      <c r="H132" s="1089">
        <f>H133+H134</f>
        <v>2074617.6999999997</v>
      </c>
      <c r="I132" s="1029">
        <f t="shared" si="8"/>
        <v>7.289161523706002</v>
      </c>
      <c r="J132" s="1089">
        <f>J133+J134</f>
        <v>2074617.7000000002</v>
      </c>
      <c r="K132" s="1029">
        <f t="shared" si="9"/>
        <v>7.289161523706003</v>
      </c>
      <c r="L132" s="1089">
        <f>L133+L134</f>
        <v>0</v>
      </c>
    </row>
    <row r="133" spans="1:13" s="378" customFormat="1" ht="18" customHeight="1">
      <c r="A133" s="2090" t="s">
        <v>150</v>
      </c>
      <c r="B133" s="2091"/>
      <c r="C133" s="2092"/>
      <c r="D133" s="1035">
        <f>21341589+5689993.57-3300000-1713000</f>
        <v>22018582.57</v>
      </c>
      <c r="E133" s="1035">
        <f>D133+4400000+4756000-3100000</f>
        <v>28074582.57</v>
      </c>
      <c r="F133" s="930">
        <f>17969050.06+1771096.32-5287936.36-875789.64</f>
        <v>13576420.379999999</v>
      </c>
      <c r="G133" s="1029">
        <f t="shared" si="7"/>
        <v>48.35840513798955</v>
      </c>
      <c r="H133" s="930">
        <f>2808631.46+295970.4-734013.76-295970.4</f>
        <v>2074617.6999999997</v>
      </c>
      <c r="I133" s="1029">
        <f t="shared" si="8"/>
        <v>7.389665348815905</v>
      </c>
      <c r="J133" s="1033">
        <f>2523949.6-449331.9</f>
        <v>2074617.7000000002</v>
      </c>
      <c r="K133" s="1029">
        <f t="shared" si="9"/>
        <v>7.389665348815906</v>
      </c>
      <c r="L133" s="1034"/>
      <c r="M133" s="1370"/>
    </row>
    <row r="134" spans="1:12" s="378" customFormat="1" ht="18" customHeight="1">
      <c r="A134" s="2090" t="s">
        <v>151</v>
      </c>
      <c r="B134" s="2091"/>
      <c r="C134" s="2092"/>
      <c r="D134" s="1090">
        <f>387095.68</f>
        <v>387095.68</v>
      </c>
      <c r="E134" s="1035">
        <f>D134</f>
        <v>387095.68</v>
      </c>
      <c r="F134" s="930">
        <v>0</v>
      </c>
      <c r="G134" s="1029">
        <f t="shared" si="7"/>
        <v>0</v>
      </c>
      <c r="H134" s="1036">
        <v>0</v>
      </c>
      <c r="I134" s="1029">
        <f t="shared" si="8"/>
        <v>0</v>
      </c>
      <c r="J134" s="1033">
        <v>0</v>
      </c>
      <c r="K134" s="1029">
        <f t="shared" si="9"/>
        <v>0</v>
      </c>
      <c r="L134" s="1034"/>
    </row>
    <row r="135" spans="1:12" s="498" customFormat="1" ht="18" customHeight="1">
      <c r="A135" s="1947" t="s">
        <v>664</v>
      </c>
      <c r="B135" s="1948"/>
      <c r="C135" s="1949"/>
      <c r="D135" s="1089">
        <f>D136+D137</f>
        <v>349272.02</v>
      </c>
      <c r="E135" s="1089">
        <f>E136+E137</f>
        <v>349272.02</v>
      </c>
      <c r="F135" s="1089">
        <f>F136+F137</f>
        <v>0</v>
      </c>
      <c r="G135" s="1029">
        <f t="shared" si="7"/>
        <v>0</v>
      </c>
      <c r="H135" s="1089">
        <f>H136+H137</f>
        <v>0</v>
      </c>
      <c r="I135" s="1029">
        <f t="shared" si="8"/>
        <v>0</v>
      </c>
      <c r="J135" s="1089">
        <f>J136+J137</f>
        <v>0</v>
      </c>
      <c r="K135" s="1029">
        <f t="shared" si="9"/>
        <v>0</v>
      </c>
      <c r="L135" s="1089">
        <f>L136+L137</f>
        <v>0</v>
      </c>
    </row>
    <row r="136" spans="1:12" s="378" customFormat="1" ht="18" customHeight="1">
      <c r="A136" s="2090" t="s">
        <v>150</v>
      </c>
      <c r="B136" s="2091"/>
      <c r="C136" s="2092"/>
      <c r="D136" s="1035">
        <v>349272.02</v>
      </c>
      <c r="E136" s="1035">
        <f>D136</f>
        <v>349272.02</v>
      </c>
      <c r="F136" s="930">
        <v>0</v>
      </c>
      <c r="G136" s="1029">
        <f t="shared" si="7"/>
        <v>0</v>
      </c>
      <c r="H136" s="930">
        <v>0</v>
      </c>
      <c r="I136" s="1029">
        <f t="shared" si="8"/>
        <v>0</v>
      </c>
      <c r="J136" s="1033">
        <v>0</v>
      </c>
      <c r="K136" s="1029">
        <f t="shared" si="9"/>
        <v>0</v>
      </c>
      <c r="L136" s="1034"/>
    </row>
    <row r="137" spans="1:12" s="378" customFormat="1" ht="18" customHeight="1">
      <c r="A137" s="2090" t="s">
        <v>151</v>
      </c>
      <c r="B137" s="2091"/>
      <c r="C137" s="2092"/>
      <c r="D137" s="1035"/>
      <c r="E137" s="1035"/>
      <c r="F137" s="930"/>
      <c r="G137" s="1037"/>
      <c r="H137" s="930"/>
      <c r="I137" s="1037"/>
      <c r="J137" s="1033"/>
      <c r="K137" s="1037"/>
      <c r="L137" s="1034"/>
    </row>
    <row r="138" spans="1:12" s="498" customFormat="1" ht="18" customHeight="1">
      <c r="A138" s="2087" t="s">
        <v>665</v>
      </c>
      <c r="B138" s="2088"/>
      <c r="C138" s="2089"/>
      <c r="D138" s="1089">
        <f>D139+D140</f>
        <v>0</v>
      </c>
      <c r="E138" s="1089">
        <f>E139+E140</f>
        <v>0</v>
      </c>
      <c r="F138" s="1089">
        <f>F139+F140</f>
        <v>0</v>
      </c>
      <c r="G138" s="1029"/>
      <c r="H138" s="1089">
        <f>H139+H140</f>
        <v>0</v>
      </c>
      <c r="I138" s="1029"/>
      <c r="J138" s="1089">
        <f>J139+J140</f>
        <v>0</v>
      </c>
      <c r="K138" s="1029"/>
      <c r="L138" s="1089">
        <f>L139+L140</f>
        <v>0</v>
      </c>
    </row>
    <row r="139" spans="1:13" s="378" customFormat="1" ht="18" customHeight="1">
      <c r="A139" s="2090" t="s">
        <v>150</v>
      </c>
      <c r="B139" s="2091"/>
      <c r="C139" s="2092"/>
      <c r="D139" s="1035">
        <f>210170000+103000+9702000-210170000-103000-9702000</f>
        <v>0</v>
      </c>
      <c r="E139" s="1035">
        <f>D139+3000000-3000000</f>
        <v>0</v>
      </c>
      <c r="F139" s="930">
        <v>0</v>
      </c>
      <c r="G139" s="1029"/>
      <c r="H139" s="1036">
        <v>0</v>
      </c>
      <c r="I139" s="1029"/>
      <c r="J139" s="1033">
        <v>0</v>
      </c>
      <c r="K139" s="1029"/>
      <c r="L139" s="1034"/>
      <c r="M139" s="1370"/>
    </row>
    <row r="140" spans="1:12" s="498" customFormat="1" ht="18" customHeight="1">
      <c r="A140" s="2090" t="s">
        <v>151</v>
      </c>
      <c r="B140" s="2091"/>
      <c r="C140" s="2092"/>
      <c r="D140" s="1035"/>
      <c r="E140" s="1035"/>
      <c r="F140" s="1035"/>
      <c r="G140" s="1037"/>
      <c r="H140" s="1032"/>
      <c r="I140" s="1037"/>
      <c r="J140" s="1033"/>
      <c r="K140" s="1037"/>
      <c r="L140" s="1034"/>
    </row>
    <row r="141" spans="1:12" s="1006" customFormat="1" ht="26.25" customHeight="1">
      <c r="A141" s="1983" t="s">
        <v>666</v>
      </c>
      <c r="B141" s="1984"/>
      <c r="C141" s="1985"/>
      <c r="D141" s="1091">
        <f>D120+D123+D126+D129+D132+D135+D138</f>
        <v>450942252.99999994</v>
      </c>
      <c r="E141" s="1091">
        <f>E120+E123+E126+E129+E132+E135+E138</f>
        <v>490669854.07</v>
      </c>
      <c r="F141" s="1091">
        <f>F120+F123+F126+F129+F132+F135+F138</f>
        <v>191449861.34000003</v>
      </c>
      <c r="G141" s="1041">
        <f t="shared" si="7"/>
        <v>39.01806066787372</v>
      </c>
      <c r="H141" s="1091">
        <f>H120+H123+H126+H129+H132+H135+H138</f>
        <v>22321487.419999998</v>
      </c>
      <c r="I141" s="1041">
        <f t="shared" si="8"/>
        <v>4.54918663432206</v>
      </c>
      <c r="J141" s="1091">
        <f>J120+J123+J126+J129+J132+J135+J138</f>
        <v>12127621.43</v>
      </c>
      <c r="K141" s="1041">
        <f t="shared" si="9"/>
        <v>2.4716459202463756</v>
      </c>
      <c r="L141" s="1091">
        <f>L120+L123+L126+L129+L132+L135+L138</f>
        <v>0</v>
      </c>
    </row>
    <row r="142" spans="1:12" s="498" customFormat="1" ht="15">
      <c r="A142" s="1092"/>
      <c r="B142" s="1093"/>
      <c r="C142" s="1094"/>
      <c r="D142" s="1095"/>
      <c r="E142" s="1096"/>
      <c r="F142" s="1097"/>
      <c r="G142" s="1098"/>
      <c r="H142" s="1008"/>
      <c r="I142" s="1099"/>
      <c r="J142" s="1100"/>
      <c r="K142" s="1101"/>
      <c r="L142" s="1101"/>
    </row>
    <row r="143" spans="1:12" s="378" customFormat="1" ht="18.75" customHeight="1">
      <c r="A143" s="2095" t="s">
        <v>619</v>
      </c>
      <c r="B143" s="2095"/>
      <c r="C143" s="2095"/>
      <c r="D143" s="2096" t="s">
        <v>194</v>
      </c>
      <c r="E143" s="2079" t="s">
        <v>620</v>
      </c>
      <c r="F143" s="2081" t="s">
        <v>242</v>
      </c>
      <c r="G143" s="2082"/>
      <c r="H143" s="2081" t="s">
        <v>156</v>
      </c>
      <c r="I143" s="2082"/>
      <c r="J143" s="2083" t="s">
        <v>570</v>
      </c>
      <c r="K143" s="2084"/>
      <c r="L143" s="2085" t="s">
        <v>615</v>
      </c>
    </row>
    <row r="144" spans="1:12" s="378" customFormat="1" ht="38.25" customHeight="1">
      <c r="A144" s="2095"/>
      <c r="B144" s="2095"/>
      <c r="C144" s="2095"/>
      <c r="D144" s="2097"/>
      <c r="E144" s="2080"/>
      <c r="F144" s="1082" t="s">
        <v>616</v>
      </c>
      <c r="G144" s="1082" t="s">
        <v>573</v>
      </c>
      <c r="H144" s="1082" t="s">
        <v>617</v>
      </c>
      <c r="I144" s="1082" t="s">
        <v>575</v>
      </c>
      <c r="J144" s="1082" t="s">
        <v>618</v>
      </c>
      <c r="K144" s="1082" t="s">
        <v>576</v>
      </c>
      <c r="L144" s="2086"/>
    </row>
    <row r="145" spans="1:12" s="378" customFormat="1" ht="18" customHeight="1">
      <c r="A145" s="2008" t="s">
        <v>667</v>
      </c>
      <c r="B145" s="2093"/>
      <c r="C145" s="2094"/>
      <c r="D145" s="1102">
        <f>D37+D120</f>
        <v>94340760.41</v>
      </c>
      <c r="E145" s="1102">
        <f>E37+E120</f>
        <v>106816416.28</v>
      </c>
      <c r="F145" s="1103">
        <f>F37+F120</f>
        <v>41820121.24</v>
      </c>
      <c r="G145" s="1029">
        <f>F145/E145*100</f>
        <v>39.151398910796715</v>
      </c>
      <c r="H145" s="1102">
        <f>H37+H120</f>
        <v>6266881.82</v>
      </c>
      <c r="I145" s="1029">
        <f>H145/E145*100</f>
        <v>5.866965058603443</v>
      </c>
      <c r="J145" s="1102">
        <f>J37+J120</f>
        <v>5136976.75</v>
      </c>
      <c r="K145" s="1029">
        <f>J145/E145*100</f>
        <v>4.809164105013916</v>
      </c>
      <c r="L145" s="1102"/>
    </row>
    <row r="146" spans="1:13" s="378" customFormat="1" ht="18" customHeight="1">
      <c r="A146" s="2008" t="s">
        <v>668</v>
      </c>
      <c r="B146" s="2093"/>
      <c r="C146" s="2094"/>
      <c r="D146" s="1102">
        <f>D40+D123</f>
        <v>528718550.99</v>
      </c>
      <c r="E146" s="1102">
        <f>E40+E123</f>
        <v>543521032.69</v>
      </c>
      <c r="F146" s="1102">
        <f>F40+F123</f>
        <v>339167017.08000004</v>
      </c>
      <c r="G146" s="1029">
        <f aca="true" t="shared" si="10" ref="G146:G154">F146/E146*100</f>
        <v>62.401820110142026</v>
      </c>
      <c r="H146" s="1102">
        <f>H40+H123</f>
        <v>40632345.22</v>
      </c>
      <c r="I146" s="1029">
        <f aca="true" t="shared" si="11" ref="I146:I154">H146/E146*100</f>
        <v>7.47576317679961</v>
      </c>
      <c r="J146" s="1102">
        <f>J40+J123</f>
        <v>27305728.05</v>
      </c>
      <c r="K146" s="1029">
        <f aca="true" t="shared" si="12" ref="K146:K154">J146/E146*100</f>
        <v>5.023858582777966</v>
      </c>
      <c r="L146" s="1102"/>
      <c r="M146" s="1104"/>
    </row>
    <row r="147" spans="1:12" s="378" customFormat="1" ht="18" customHeight="1">
      <c r="A147" s="2008" t="s">
        <v>669</v>
      </c>
      <c r="B147" s="2093"/>
      <c r="C147" s="2094"/>
      <c r="D147" s="1105">
        <f>D43+D126</f>
        <v>25461821.93</v>
      </c>
      <c r="E147" s="1105">
        <f>E43+E126</f>
        <v>28855285.43</v>
      </c>
      <c r="F147" s="1105">
        <f>F43+F126</f>
        <v>14400</v>
      </c>
      <c r="G147" s="1029">
        <f t="shared" si="10"/>
        <v>0.04990420224722067</v>
      </c>
      <c r="H147" s="1105">
        <f>H43+H126</f>
        <v>0</v>
      </c>
      <c r="I147" s="1029">
        <f t="shared" si="11"/>
        <v>0</v>
      </c>
      <c r="J147" s="1105">
        <f>J43+J126</f>
        <v>0</v>
      </c>
      <c r="K147" s="1029">
        <f t="shared" si="12"/>
        <v>0</v>
      </c>
      <c r="L147" s="1105"/>
    </row>
    <row r="148" spans="1:13" s="378" customFormat="1" ht="18" customHeight="1">
      <c r="A148" s="2008" t="s">
        <v>670</v>
      </c>
      <c r="B148" s="2093"/>
      <c r="C148" s="2094"/>
      <c r="D148" s="1106">
        <f>D46+D129</f>
        <v>978630.4</v>
      </c>
      <c r="E148" s="1106">
        <f>E46+E129</f>
        <v>978630.4</v>
      </c>
      <c r="F148" s="1106">
        <f>F46+F129</f>
        <v>383166.32</v>
      </c>
      <c r="G148" s="1029">
        <f t="shared" si="10"/>
        <v>39.15332284793115</v>
      </c>
      <c r="H148" s="1106">
        <f>H46+H129</f>
        <v>55300</v>
      </c>
      <c r="I148" s="1029">
        <f t="shared" si="11"/>
        <v>5.650754360379567</v>
      </c>
      <c r="J148" s="1106">
        <f>J46+J129</f>
        <v>55300</v>
      </c>
      <c r="K148" s="1029">
        <f t="shared" si="12"/>
        <v>5.650754360379567</v>
      </c>
      <c r="L148" s="1106"/>
      <c r="M148" s="1107"/>
    </row>
    <row r="149" spans="1:12" s="378" customFormat="1" ht="18" customHeight="1">
      <c r="A149" s="2008" t="s">
        <v>671</v>
      </c>
      <c r="B149" s="2093"/>
      <c r="C149" s="2094"/>
      <c r="D149" s="1106">
        <f>D49+D132</f>
        <v>27418678.25</v>
      </c>
      <c r="E149" s="1106">
        <f>E49+E132</f>
        <v>36574678.25</v>
      </c>
      <c r="F149" s="1106">
        <f>F49+F132</f>
        <v>19740146.38</v>
      </c>
      <c r="G149" s="1029">
        <f t="shared" si="10"/>
        <v>53.97216687750356</v>
      </c>
      <c r="H149" s="1106">
        <f>H49+H132</f>
        <v>3104601.86</v>
      </c>
      <c r="I149" s="1029">
        <f t="shared" si="11"/>
        <v>8.488391446068292</v>
      </c>
      <c r="J149" s="1106">
        <f>J49+J132</f>
        <v>2523949.6</v>
      </c>
      <c r="K149" s="1029">
        <f t="shared" si="12"/>
        <v>6.9008114924428625</v>
      </c>
      <c r="L149" s="1106"/>
    </row>
    <row r="150" spans="1:13" s="378" customFormat="1" ht="18" customHeight="1">
      <c r="A150" s="2008" t="s">
        <v>672</v>
      </c>
      <c r="B150" s="2093"/>
      <c r="C150" s="2094"/>
      <c r="D150" s="1106">
        <f>D52+D135</f>
        <v>349272.02</v>
      </c>
      <c r="E150" s="1106">
        <f>E52+E135</f>
        <v>349272.02</v>
      </c>
      <c r="F150" s="1106">
        <f>F52+F135</f>
        <v>0</v>
      </c>
      <c r="G150" s="1029">
        <f t="shared" si="10"/>
        <v>0</v>
      </c>
      <c r="H150" s="1106">
        <f>H52+H135</f>
        <v>0</v>
      </c>
      <c r="I150" s="1029">
        <f t="shared" si="11"/>
        <v>0</v>
      </c>
      <c r="J150" s="1106">
        <f>J52+J135</f>
        <v>0</v>
      </c>
      <c r="K150" s="1029">
        <f t="shared" si="12"/>
        <v>0</v>
      </c>
      <c r="L150" s="1106"/>
      <c r="M150" s="920"/>
    </row>
    <row r="151" spans="1:13" s="378" customFormat="1" ht="18" customHeight="1">
      <c r="A151" s="2008" t="s">
        <v>673</v>
      </c>
      <c r="B151" s="2093"/>
      <c r="C151" s="2094"/>
      <c r="D151" s="1106">
        <f>D55+D138</f>
        <v>287187980</v>
      </c>
      <c r="E151" s="1106">
        <f>E55+E138</f>
        <v>290187980</v>
      </c>
      <c r="F151" s="1106">
        <f>F55+F138</f>
        <v>260734042.31</v>
      </c>
      <c r="G151" s="1029">
        <f t="shared" si="10"/>
        <v>89.8500490302872</v>
      </c>
      <c r="H151" s="1106">
        <f>H55+H138</f>
        <v>37268764.06</v>
      </c>
      <c r="I151" s="1029">
        <f t="shared" si="11"/>
        <v>12.842973048022182</v>
      </c>
      <c r="J151" s="1106">
        <f>J55+J138</f>
        <v>20963496.29</v>
      </c>
      <c r="K151" s="1029">
        <f t="shared" si="12"/>
        <v>7.224109106793465</v>
      </c>
      <c r="L151" s="1106"/>
      <c r="M151" s="920"/>
    </row>
    <row r="152" spans="1:13" s="378" customFormat="1" ht="18" customHeight="1">
      <c r="A152" s="1983" t="s">
        <v>674</v>
      </c>
      <c r="B152" s="1984"/>
      <c r="C152" s="1985"/>
      <c r="D152" s="1108">
        <f>D58+D141</f>
        <v>964455694</v>
      </c>
      <c r="E152" s="1108">
        <f>E58+E141</f>
        <v>1007283295.0699999</v>
      </c>
      <c r="F152" s="1108">
        <f>F58+F141</f>
        <v>661858893.33</v>
      </c>
      <c r="G152" s="1041">
        <f t="shared" si="10"/>
        <v>65.70732350763396</v>
      </c>
      <c r="H152" s="1109">
        <f>H58+H141</f>
        <v>87327892.96000001</v>
      </c>
      <c r="I152" s="1041">
        <f t="shared" si="11"/>
        <v>8.669645708155148</v>
      </c>
      <c r="J152" s="1110">
        <f>J58+J141</f>
        <v>55985450.69</v>
      </c>
      <c r="K152" s="1041">
        <f t="shared" si="12"/>
        <v>5.5580640485166946</v>
      </c>
      <c r="L152" s="1111">
        <f>L58+L141</f>
        <v>0</v>
      </c>
      <c r="M152" s="1107"/>
    </row>
    <row r="153" spans="1:13" s="378" customFormat="1" ht="18" customHeight="1">
      <c r="A153" s="2008" t="s">
        <v>621</v>
      </c>
      <c r="B153" s="2093"/>
      <c r="C153" s="2094"/>
      <c r="D153" s="928"/>
      <c r="E153" s="924"/>
      <c r="F153" s="1106"/>
      <c r="G153" s="1112"/>
      <c r="H153" s="927"/>
      <c r="I153" s="1029"/>
      <c r="J153" s="1113"/>
      <c r="K153" s="1029"/>
      <c r="L153" s="925"/>
      <c r="M153" s="1107"/>
    </row>
    <row r="154" spans="1:13" s="498" customFormat="1" ht="18" customHeight="1">
      <c r="A154" s="1983" t="s">
        <v>675</v>
      </c>
      <c r="B154" s="1984"/>
      <c r="C154" s="1985"/>
      <c r="D154" s="1114">
        <f>D152-D153</f>
        <v>964455694</v>
      </c>
      <c r="E154" s="1114">
        <f>E152-E153</f>
        <v>1007283295.0699999</v>
      </c>
      <c r="F154" s="1114">
        <f>F152-F153</f>
        <v>661858893.33</v>
      </c>
      <c r="G154" s="1041">
        <f t="shared" si="10"/>
        <v>65.70732350763396</v>
      </c>
      <c r="H154" s="1114">
        <f>H152-H153</f>
        <v>87327892.96000001</v>
      </c>
      <c r="I154" s="1041">
        <f t="shared" si="11"/>
        <v>8.669645708155148</v>
      </c>
      <c r="J154" s="1114">
        <f>J152-J153</f>
        <v>55985450.69</v>
      </c>
      <c r="K154" s="1041">
        <f t="shared" si="12"/>
        <v>5.5580640485166946</v>
      </c>
      <c r="L154" s="1114">
        <f>L152-L153</f>
        <v>0</v>
      </c>
      <c r="M154" s="1107"/>
    </row>
    <row r="155" spans="1:13" ht="14.25">
      <c r="A155" s="931" t="s">
        <v>56</v>
      </c>
      <c r="B155" s="932"/>
      <c r="C155" s="932"/>
      <c r="D155" s="932"/>
      <c r="E155" s="932"/>
      <c r="F155" s="932"/>
      <c r="G155" s="932"/>
      <c r="H155" s="932"/>
      <c r="I155" s="929"/>
      <c r="J155" s="932"/>
      <c r="K155" s="351"/>
      <c r="M155" s="1115"/>
    </row>
    <row r="156" spans="1:12" ht="14.25">
      <c r="A156" s="1933" t="str">
        <f>'Anexo 1 _ BAL ORC'!A99</f>
        <v>  São Luís, 24 de março de 2021</v>
      </c>
      <c r="B156" s="1933"/>
      <c r="C156" s="1933"/>
      <c r="D156" s="1365"/>
      <c r="E156" s="1365"/>
      <c r="F156" s="926"/>
      <c r="G156" s="1116"/>
      <c r="H156" s="1116"/>
      <c r="K156" s="351"/>
      <c r="L156" s="351"/>
    </row>
    <row r="157" spans="1:11" ht="14.25">
      <c r="A157" s="510"/>
      <c r="B157" s="506"/>
      <c r="C157" s="506"/>
      <c r="D157" s="506"/>
      <c r="E157" s="506"/>
      <c r="F157" s="506"/>
      <c r="G157" s="506"/>
      <c r="H157" s="506"/>
      <c r="K157" s="351"/>
    </row>
    <row r="158" spans="1:11" ht="14.25">
      <c r="A158" s="510"/>
      <c r="B158" s="506"/>
      <c r="C158" s="506"/>
      <c r="D158" s="506"/>
      <c r="E158" s="506"/>
      <c r="F158" s="506"/>
      <c r="G158" s="506"/>
      <c r="H158" s="506"/>
      <c r="K158" s="351"/>
    </row>
    <row r="159" spans="1:11" ht="14.25">
      <c r="A159" s="510"/>
      <c r="B159" s="506"/>
      <c r="C159" s="506"/>
      <c r="D159" s="506"/>
      <c r="E159" s="506"/>
      <c r="F159" s="506"/>
      <c r="G159" s="506"/>
      <c r="H159" s="506"/>
      <c r="K159" s="351"/>
    </row>
    <row r="160" spans="1:11" ht="15">
      <c r="A160" s="510"/>
      <c r="B160" s="500"/>
      <c r="C160" s="506"/>
      <c r="D160" s="500"/>
      <c r="E160" s="506"/>
      <c r="F160" s="506"/>
      <c r="G160" s="506"/>
      <c r="H160" s="506"/>
      <c r="K160" s="351"/>
    </row>
    <row r="161" spans="1:11" ht="14.25">
      <c r="A161" s="510"/>
      <c r="B161" s="501"/>
      <c r="C161" s="506"/>
      <c r="D161" s="501"/>
      <c r="E161" s="506"/>
      <c r="F161" s="506"/>
      <c r="G161" s="506"/>
      <c r="H161" s="506"/>
      <c r="K161" s="351"/>
    </row>
    <row r="162" spans="1:11" ht="14.25">
      <c r="A162" s="510"/>
      <c r="B162" s="506"/>
      <c r="C162" s="506"/>
      <c r="D162" s="506"/>
      <c r="E162" s="506"/>
      <c r="F162" s="506"/>
      <c r="G162" s="506"/>
      <c r="H162" s="506"/>
      <c r="K162" s="351"/>
    </row>
    <row r="163" spans="1:11" ht="14.25">
      <c r="A163" s="510"/>
      <c r="B163" s="506"/>
      <c r="C163" s="506"/>
      <c r="D163" s="506"/>
      <c r="E163" s="506"/>
      <c r="F163" s="506"/>
      <c r="G163" s="506"/>
      <c r="H163" s="506"/>
      <c r="K163" s="351"/>
    </row>
    <row r="164" spans="1:11" ht="14.25">
      <c r="A164" s="510"/>
      <c r="B164" s="506"/>
      <c r="C164" s="506"/>
      <c r="D164" s="506"/>
      <c r="E164" s="506"/>
      <c r="F164" s="506"/>
      <c r="G164" s="506"/>
      <c r="H164" s="506"/>
      <c r="K164" s="351"/>
    </row>
    <row r="165" spans="1:11" ht="12.75" customHeight="1">
      <c r="A165" s="499"/>
      <c r="B165" s="497"/>
      <c r="C165" s="497"/>
      <c r="D165" s="497"/>
      <c r="E165" s="497"/>
      <c r="F165" s="497"/>
      <c r="G165" s="497"/>
      <c r="H165" s="497"/>
      <c r="K165" s="351"/>
    </row>
    <row r="166" spans="1:11" ht="15">
      <c r="A166" s="499"/>
      <c r="B166" s="2099"/>
      <c r="C166" s="2099"/>
      <c r="D166" s="1000"/>
      <c r="E166" s="497"/>
      <c r="F166" s="497"/>
      <c r="G166" s="497"/>
      <c r="H166" s="497"/>
      <c r="K166" s="351"/>
    </row>
    <row r="167" spans="1:11" ht="14.25">
      <c r="A167" s="499"/>
      <c r="B167" s="2098"/>
      <c r="C167" s="2098"/>
      <c r="D167" s="1001"/>
      <c r="E167" s="499"/>
      <c r="F167" s="499"/>
      <c r="G167" s="499"/>
      <c r="H167" s="499"/>
      <c r="K167" s="351"/>
    </row>
    <row r="168" spans="1:11" ht="14.25">
      <c r="A168" s="499"/>
      <c r="B168" s="2098"/>
      <c r="C168" s="2098"/>
      <c r="D168" s="1001"/>
      <c r="E168" s="499"/>
      <c r="F168" s="499"/>
      <c r="G168" s="499"/>
      <c r="H168" s="499"/>
      <c r="K168" s="351"/>
    </row>
    <row r="169" spans="1:11" ht="18" customHeight="1">
      <c r="A169" s="499"/>
      <c r="B169" s="499"/>
      <c r="C169" s="499"/>
      <c r="D169" s="499"/>
      <c r="E169" s="499"/>
      <c r="F169" s="499"/>
      <c r="G169" s="499"/>
      <c r="H169" s="499"/>
      <c r="K169" s="351"/>
    </row>
    <row r="170" spans="1:11" ht="14.25">
      <c r="A170" s="499"/>
      <c r="B170" s="499"/>
      <c r="C170" s="499"/>
      <c r="D170" s="499"/>
      <c r="E170" s="499"/>
      <c r="F170" s="499"/>
      <c r="G170" s="499"/>
      <c r="H170" s="499"/>
      <c r="K170" s="351"/>
    </row>
    <row r="171" spans="2:11" ht="14.25" hidden="1">
      <c r="B171" s="351"/>
      <c r="C171" s="351"/>
      <c r="D171" s="351"/>
      <c r="E171" s="351"/>
      <c r="F171" s="351"/>
      <c r="G171" s="351"/>
      <c r="H171" s="351"/>
      <c r="K171" s="351"/>
    </row>
    <row r="172" spans="2:11" ht="14.25">
      <c r="B172" s="351"/>
      <c r="C172" s="351"/>
      <c r="D172" s="351"/>
      <c r="E172" s="351"/>
      <c r="F172" s="351"/>
      <c r="G172" s="351"/>
      <c r="H172" s="351"/>
      <c r="K172" s="351"/>
    </row>
    <row r="173" spans="2:11" ht="14.25">
      <c r="B173" s="351"/>
      <c r="C173" s="351"/>
      <c r="D173" s="351"/>
      <c r="E173" s="351"/>
      <c r="F173" s="351"/>
      <c r="G173" s="351"/>
      <c r="H173" s="351"/>
      <c r="K173" s="351"/>
    </row>
    <row r="174" spans="2:11" ht="14.25">
      <c r="B174" s="351"/>
      <c r="C174" s="351"/>
      <c r="D174" s="351"/>
      <c r="E174" s="351"/>
      <c r="F174" s="351"/>
      <c r="G174" s="351"/>
      <c r="H174" s="351"/>
      <c r="K174" s="351"/>
    </row>
    <row r="175" spans="2:11" ht="14.25">
      <c r="B175" s="351"/>
      <c r="C175" s="351"/>
      <c r="D175" s="351"/>
      <c r="E175" s="351"/>
      <c r="F175" s="351"/>
      <c r="G175" s="351"/>
      <c r="H175" s="351"/>
      <c r="K175" s="351"/>
    </row>
    <row r="176" spans="2:11" ht="14.25">
      <c r="B176" s="351"/>
      <c r="C176" s="351"/>
      <c r="D176" s="351"/>
      <c r="E176" s="351"/>
      <c r="F176" s="351"/>
      <c r="G176" s="351"/>
      <c r="H176" s="351"/>
      <c r="K176" s="351"/>
    </row>
    <row r="177" spans="2:10" ht="14.25">
      <c r="B177" s="351"/>
      <c r="C177" s="351"/>
      <c r="D177" s="351"/>
      <c r="E177" s="351"/>
      <c r="F177" s="351"/>
      <c r="G177" s="351"/>
      <c r="H177" s="351"/>
      <c r="J177" s="1117"/>
    </row>
    <row r="178" spans="2:10" ht="14.25">
      <c r="B178" s="351"/>
      <c r="C178" s="351"/>
      <c r="D178" s="351"/>
      <c r="E178" s="351"/>
      <c r="F178" s="351"/>
      <c r="G178" s="351"/>
      <c r="H178" s="351"/>
      <c r="J178" s="1117"/>
    </row>
    <row r="179" spans="2:10" ht="14.25">
      <c r="B179" s="351"/>
      <c r="C179" s="351"/>
      <c r="D179" s="351"/>
      <c r="E179" s="351"/>
      <c r="F179" s="351"/>
      <c r="G179" s="351"/>
      <c r="H179" s="351"/>
      <c r="J179" s="1117"/>
    </row>
    <row r="180" spans="2:10" ht="14.25">
      <c r="B180" s="351"/>
      <c r="C180" s="351"/>
      <c r="D180" s="351"/>
      <c r="E180" s="351"/>
      <c r="F180" s="351"/>
      <c r="G180" s="351"/>
      <c r="H180" s="351"/>
      <c r="J180" s="1117"/>
    </row>
  </sheetData>
  <sheetProtection/>
  <mergeCells count="303">
    <mergeCell ref="B168:C168"/>
    <mergeCell ref="A94:K94"/>
    <mergeCell ref="A95:K95"/>
    <mergeCell ref="A152:C152"/>
    <mergeCell ref="A153:C153"/>
    <mergeCell ref="A154:C154"/>
    <mergeCell ref="B166:C166"/>
    <mergeCell ref="B167:C167"/>
    <mergeCell ref="A146:C146"/>
    <mergeCell ref="A147:C147"/>
    <mergeCell ref="A148:C148"/>
    <mergeCell ref="A149:C149"/>
    <mergeCell ref="A150:C150"/>
    <mergeCell ref="A151:C151"/>
    <mergeCell ref="E143:E144"/>
    <mergeCell ref="D143:D144"/>
    <mergeCell ref="F143:G143"/>
    <mergeCell ref="H143:I143"/>
    <mergeCell ref="J143:K143"/>
    <mergeCell ref="L143:L144"/>
    <mergeCell ref="A145:C145"/>
    <mergeCell ref="A138:C138"/>
    <mergeCell ref="A139:C139"/>
    <mergeCell ref="A140:C140"/>
    <mergeCell ref="A141:C141"/>
    <mergeCell ref="A143:C144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7:L117"/>
    <mergeCell ref="A118:C119"/>
    <mergeCell ref="D118:D119"/>
    <mergeCell ref="E118:E119"/>
    <mergeCell ref="F118:G118"/>
    <mergeCell ref="H118:I118"/>
    <mergeCell ref="J118:K118"/>
    <mergeCell ref="L118:L119"/>
    <mergeCell ref="A112:E112"/>
    <mergeCell ref="F112:G112"/>
    <mergeCell ref="H112:I112"/>
    <mergeCell ref="J112:K112"/>
    <mergeCell ref="A113:E113"/>
    <mergeCell ref="F113:G113"/>
    <mergeCell ref="H113:I113"/>
    <mergeCell ref="J113:K113"/>
    <mergeCell ref="A110:E110"/>
    <mergeCell ref="F110:G110"/>
    <mergeCell ref="H110:I110"/>
    <mergeCell ref="J110:K110"/>
    <mergeCell ref="A111:E111"/>
    <mergeCell ref="F111:G111"/>
    <mergeCell ref="H111:I111"/>
    <mergeCell ref="J111:K111"/>
    <mergeCell ref="A108:E108"/>
    <mergeCell ref="F108:G108"/>
    <mergeCell ref="H108:I108"/>
    <mergeCell ref="J108:K108"/>
    <mergeCell ref="A109:E109"/>
    <mergeCell ref="F109:G109"/>
    <mergeCell ref="H109:I109"/>
    <mergeCell ref="J109:K109"/>
    <mergeCell ref="H105:I106"/>
    <mergeCell ref="J105:L105"/>
    <mergeCell ref="J106:K106"/>
    <mergeCell ref="A107:E107"/>
    <mergeCell ref="F107:G107"/>
    <mergeCell ref="H107:I107"/>
    <mergeCell ref="J107:K107"/>
    <mergeCell ref="A100:G100"/>
    <mergeCell ref="A101:G101"/>
    <mergeCell ref="A102:G102"/>
    <mergeCell ref="A103:G103"/>
    <mergeCell ref="A105:E106"/>
    <mergeCell ref="F105:G106"/>
    <mergeCell ref="A90:B90"/>
    <mergeCell ref="A91:B91"/>
    <mergeCell ref="A93:K93"/>
    <mergeCell ref="A96:L96"/>
    <mergeCell ref="A97:G99"/>
    <mergeCell ref="H97:L97"/>
    <mergeCell ref="H98:H99"/>
    <mergeCell ref="I98:K98"/>
    <mergeCell ref="L98:L99"/>
    <mergeCell ref="A84:L84"/>
    <mergeCell ref="A85:L85"/>
    <mergeCell ref="A86:B86"/>
    <mergeCell ref="A87:B87"/>
    <mergeCell ref="A88:B88"/>
    <mergeCell ref="A89:B89"/>
    <mergeCell ref="A82:E82"/>
    <mergeCell ref="F82:G82"/>
    <mergeCell ref="K82:L82"/>
    <mergeCell ref="A83:E83"/>
    <mergeCell ref="F83:G83"/>
    <mergeCell ref="K83:L83"/>
    <mergeCell ref="A80:E80"/>
    <mergeCell ref="F80:G80"/>
    <mergeCell ref="K80:L80"/>
    <mergeCell ref="A81:E81"/>
    <mergeCell ref="F81:G81"/>
    <mergeCell ref="K81:L81"/>
    <mergeCell ref="A75:F75"/>
    <mergeCell ref="G75:L75"/>
    <mergeCell ref="A76:L76"/>
    <mergeCell ref="A77:E79"/>
    <mergeCell ref="F77:L77"/>
    <mergeCell ref="F78:G79"/>
    <mergeCell ref="H78:J78"/>
    <mergeCell ref="K78:L79"/>
    <mergeCell ref="A72:F72"/>
    <mergeCell ref="G72:L72"/>
    <mergeCell ref="A73:F73"/>
    <mergeCell ref="G73:L73"/>
    <mergeCell ref="A74:F74"/>
    <mergeCell ref="G74:L74"/>
    <mergeCell ref="A70:F70"/>
    <mergeCell ref="G70:H70"/>
    <mergeCell ref="I70:J70"/>
    <mergeCell ref="K70:L70"/>
    <mergeCell ref="A71:F71"/>
    <mergeCell ref="G71:L71"/>
    <mergeCell ref="A68:F68"/>
    <mergeCell ref="G68:H68"/>
    <mergeCell ref="I68:J68"/>
    <mergeCell ref="K68:L68"/>
    <mergeCell ref="A69:F69"/>
    <mergeCell ref="G69:H69"/>
    <mergeCell ref="I69:J69"/>
    <mergeCell ref="K69:L69"/>
    <mergeCell ref="A66:F66"/>
    <mergeCell ref="G66:H66"/>
    <mergeCell ref="I66:J66"/>
    <mergeCell ref="K66:L66"/>
    <mergeCell ref="A67:F67"/>
    <mergeCell ref="G67:H67"/>
    <mergeCell ref="I67:J67"/>
    <mergeCell ref="K67:L67"/>
    <mergeCell ref="A58:C58"/>
    <mergeCell ref="A65:F65"/>
    <mergeCell ref="G65:H65"/>
    <mergeCell ref="I65:J65"/>
    <mergeCell ref="K65:L65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E35:E36"/>
    <mergeCell ref="F35:G35"/>
    <mergeCell ref="A42:C42"/>
    <mergeCell ref="A43:C43"/>
    <mergeCell ref="A44:C44"/>
    <mergeCell ref="A45:C45"/>
    <mergeCell ref="A37:C37"/>
    <mergeCell ref="A38:C38"/>
    <mergeCell ref="A39:C39"/>
    <mergeCell ref="A40:C40"/>
    <mergeCell ref="A41:C41"/>
    <mergeCell ref="A35:C36"/>
    <mergeCell ref="H35:I35"/>
    <mergeCell ref="J35:K35"/>
    <mergeCell ref="A31:C31"/>
    <mergeCell ref="D31:E31"/>
    <mergeCell ref="F31:G31"/>
    <mergeCell ref="H31:J31"/>
    <mergeCell ref="K31:L31"/>
    <mergeCell ref="B34:L34"/>
    <mergeCell ref="L35:L36"/>
    <mergeCell ref="D35:D36"/>
    <mergeCell ref="A29:C29"/>
    <mergeCell ref="D29:E29"/>
    <mergeCell ref="F29:G29"/>
    <mergeCell ref="H29:J29"/>
    <mergeCell ref="K29:L29"/>
    <mergeCell ref="A30:C30"/>
    <mergeCell ref="D30:E30"/>
    <mergeCell ref="F30:G30"/>
    <mergeCell ref="H30:J30"/>
    <mergeCell ref="K30:L30"/>
    <mergeCell ref="A27:C27"/>
    <mergeCell ref="D27:E27"/>
    <mergeCell ref="F27:G27"/>
    <mergeCell ref="H27:J27"/>
    <mergeCell ref="K27:L27"/>
    <mergeCell ref="A28:C28"/>
    <mergeCell ref="D28:E28"/>
    <mergeCell ref="F28:G28"/>
    <mergeCell ref="H28:J28"/>
    <mergeCell ref="K28:L28"/>
    <mergeCell ref="A25:C25"/>
    <mergeCell ref="D25:E25"/>
    <mergeCell ref="F25:G25"/>
    <mergeCell ref="H25:J25"/>
    <mergeCell ref="K25:L25"/>
    <mergeCell ref="A26:C26"/>
    <mergeCell ref="D26:E26"/>
    <mergeCell ref="F26:G26"/>
    <mergeCell ref="H26:J26"/>
    <mergeCell ref="K26:L26"/>
    <mergeCell ref="A23:C23"/>
    <mergeCell ref="D23:E23"/>
    <mergeCell ref="F23:G23"/>
    <mergeCell ref="H23:J23"/>
    <mergeCell ref="K23:L23"/>
    <mergeCell ref="A24:C24"/>
    <mergeCell ref="D24:E24"/>
    <mergeCell ref="F24:G24"/>
    <mergeCell ref="H24:J24"/>
    <mergeCell ref="K24:L24"/>
    <mergeCell ref="A21:L21"/>
    <mergeCell ref="A22:C22"/>
    <mergeCell ref="D22:E22"/>
    <mergeCell ref="F22:G22"/>
    <mergeCell ref="H22:J22"/>
    <mergeCell ref="K22:L22"/>
    <mergeCell ref="A19:C19"/>
    <mergeCell ref="D19:E19"/>
    <mergeCell ref="F19:G19"/>
    <mergeCell ref="H19:J19"/>
    <mergeCell ref="K19:L19"/>
    <mergeCell ref="A20:C20"/>
    <mergeCell ref="D20:E20"/>
    <mergeCell ref="F20:G20"/>
    <mergeCell ref="H20:J20"/>
    <mergeCell ref="K20:L20"/>
    <mergeCell ref="A17:C17"/>
    <mergeCell ref="D17:E17"/>
    <mergeCell ref="F17:G17"/>
    <mergeCell ref="H17:J17"/>
    <mergeCell ref="K17:L17"/>
    <mergeCell ref="A18:C18"/>
    <mergeCell ref="D18:E18"/>
    <mergeCell ref="F18:G18"/>
    <mergeCell ref="H18:J18"/>
    <mergeCell ref="K18:L18"/>
    <mergeCell ref="A15:C15"/>
    <mergeCell ref="D15:E15"/>
    <mergeCell ref="F15:G15"/>
    <mergeCell ref="H15:J15"/>
    <mergeCell ref="K15:L15"/>
    <mergeCell ref="A16:C16"/>
    <mergeCell ref="D16:E16"/>
    <mergeCell ref="F16:G16"/>
    <mergeCell ref="H16:J16"/>
    <mergeCell ref="K16:L16"/>
    <mergeCell ref="A13:C13"/>
    <mergeCell ref="D13:E13"/>
    <mergeCell ref="F13:G13"/>
    <mergeCell ref="H13:J13"/>
    <mergeCell ref="K13:L13"/>
    <mergeCell ref="A14:C14"/>
    <mergeCell ref="D14:E14"/>
    <mergeCell ref="F14:G14"/>
    <mergeCell ref="H14:J14"/>
    <mergeCell ref="K14:L14"/>
    <mergeCell ref="F11:G11"/>
    <mergeCell ref="H11:J11"/>
    <mergeCell ref="K11:L11"/>
    <mergeCell ref="A12:C12"/>
    <mergeCell ref="D12:E12"/>
    <mergeCell ref="F12:G12"/>
    <mergeCell ref="H12:J12"/>
    <mergeCell ref="K12:L12"/>
    <mergeCell ref="H7:L7"/>
    <mergeCell ref="H8:J9"/>
    <mergeCell ref="K8:L9"/>
    <mergeCell ref="A10:C10"/>
    <mergeCell ref="D10:E10"/>
    <mergeCell ref="F10:G10"/>
    <mergeCell ref="H10:J10"/>
    <mergeCell ref="K10:L10"/>
    <mergeCell ref="A156:C156"/>
    <mergeCell ref="A1:G1"/>
    <mergeCell ref="A2:G2"/>
    <mergeCell ref="A4:G4"/>
    <mergeCell ref="A5:D5"/>
    <mergeCell ref="A7:C9"/>
    <mergeCell ref="D7:E9"/>
    <mergeCell ref="F7:G9"/>
    <mergeCell ref="A11:C11"/>
    <mergeCell ref="D11:E11"/>
  </mergeCells>
  <printOptions horizontalCentered="1"/>
  <pageMargins left="0.1968503937007874" right="0.1968503937007874" top="0.3937007874015748" bottom="0.1968503937007874" header="0.2755905511811024" footer="0.2755905511811024"/>
  <pageSetup fitToHeight="2" horizontalDpi="600" verticalDpi="600" orientation="landscape" paperSize="9" scale="49" r:id="rId2"/>
  <headerFooter scaleWithDoc="0">
    <oddFooter>&amp;L&amp;8Publicação: Diário Oficial do Município nº 58
Data: 24.03.2021
&amp;R&amp;8&amp;P / &amp;N</oddFooter>
  </headerFooter>
  <rowBreaks count="2" manualBreakCount="2">
    <brk id="64" max="11" man="1"/>
    <brk id="1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Durval Ferreira Bezerra Filho</dc:creator>
  <cp:keywords/>
  <dc:description/>
  <cp:lastModifiedBy>Lutero Almeida Vieira</cp:lastModifiedBy>
  <cp:lastPrinted>2021-03-23T09:26:01Z</cp:lastPrinted>
  <dcterms:created xsi:type="dcterms:W3CDTF">2010-04-09T15:53:13Z</dcterms:created>
  <dcterms:modified xsi:type="dcterms:W3CDTF">2021-03-23T10:39:56Z</dcterms:modified>
  <cp:category/>
  <cp:version/>
  <cp:contentType/>
  <cp:contentStatus/>
</cp:coreProperties>
</file>