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50" windowHeight="8190" tabRatio="898" firstSheet="4" activeTab="9"/>
  </bookViews>
  <sheets>
    <sheet name="Anexo I_BAL ORC" sheetId="1" r:id="rId1"/>
    <sheet name="Anexo II_DP FUNC" sheetId="2" r:id="rId2"/>
    <sheet name="Anexo III _ RCL" sheetId="3" r:id="rId3"/>
    <sheet name="Anexo V _ PREVID " sheetId="4" r:id="rId4"/>
    <sheet name="Anexo VI _ RES NOM" sheetId="5" r:id="rId5"/>
    <sheet name="Anexo VII _ RES PRIM" sheetId="6" r:id="rId6"/>
    <sheet name="Anexo XII_PROJ AT REG GERAL HIP" sheetId="7" state="hidden" r:id="rId7"/>
    <sheet name="Anexo IX _ RP" sheetId="8" r:id="rId8"/>
    <sheet name="Anexo X _ ENSINO" sheetId="9" r:id="rId9"/>
    <sheet name="Anexo XVIII _ Simplificado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10Planilha_2TítCols_6_1">(#REF!,#REF!)</definedName>
    <definedName name="_11Planilha_2TítLins_6_1">#REF!</definedName>
    <definedName name="_12Planilha_3ÁreaTotal_6_1">(#REF!,#REF!)</definedName>
    <definedName name="_13Planilha_3CabGráfico_6_1">#REF!</definedName>
    <definedName name="_14Planilha_3TítCols_6_1">(#REF!,#REF!)</definedName>
    <definedName name="_15Planilha_3TítLins_6_1">#REF!</definedName>
    <definedName name="_16Tabela_1___Déficit_da_Previdência_Social__RGPS_6_1">#REF!</definedName>
    <definedName name="_17Tabela_10___Resultado_Primário_do_Governo_Central_em_1999_6_1">#REF!</definedName>
    <definedName name="_18Tabela_2___Contribuições_Previdenciárias_6_1">#REF!</definedName>
    <definedName name="_19Tabela_3___Benefícios__previsto_x_realizado_6_1">#REF!</definedName>
    <definedName name="_1Excel_BuiltIn_Print_Area_11_1">#REF!</definedName>
    <definedName name="_20Tabela_4___Receitas_Administradas_pela_SRF__previsto_x_realizado_6_1">#REF!</definedName>
    <definedName name="_21Tabela_5___Receitas_Administradas_em_Agosto_6_1">#REF!</definedName>
    <definedName name="_22Tabela_6___Receitas_Diretamente_Arrecadadas_6_1">#REF!</definedName>
    <definedName name="_23Tabela_7___Déficit_da_Previdência_Social_em_1999_6_1">#REF!</definedName>
    <definedName name="_24Tabela_8___Receitas_Administradas__revisão_da_previsão_6_1">#REF!</definedName>
    <definedName name="_25Tabela_9___Resultado_Primário_de_1999_6_1">#REF!</definedName>
    <definedName name="_2Ganhos_e_perdas_de_receita_6_1">#REF!</definedName>
    <definedName name="_3Ganhos_e_Perdas_de_Receita_99_6_1">#REF!</definedName>
    <definedName name="_4Planilha_1ÁreaTotal_6_1">(#REF!,#REF!)</definedName>
    <definedName name="_5Planilha_1CabGráfico_6_1">#REF!</definedName>
    <definedName name="_6Planilha_1TítCols_6_1">(#REF!,#REF!)</definedName>
    <definedName name="_7Planilha_1TítLins_6_1">#REF!</definedName>
    <definedName name="_8Planilha_2ÁreaTotal_6_1">(#REF!,#REF!)</definedName>
    <definedName name="_9Planilha_2CabGráfico_6_1">#REF!</definedName>
    <definedName name="_xlfn.BAHTTEXT" hidden="1">#NAME?</definedName>
    <definedName name="_xlnm.Print_Area" localSheetId="0">'Anexo I_BAL ORC'!$A$1:$K$130</definedName>
    <definedName name="_xlnm.Print_Area" localSheetId="1">'Anexo II_DP FUNC'!$A$1:$L$146</definedName>
    <definedName name="_xlnm.Print_Area" localSheetId="2">'Anexo III _ RCL'!$A$1:$Q$46</definedName>
    <definedName name="_xlnm.Print_Area" localSheetId="7">'Anexo IX _ RP'!$A$1:$M$73</definedName>
    <definedName name="_xlnm.Print_Area" localSheetId="3">'Anexo V _ PREVID '!$A$1:$J$151</definedName>
    <definedName name="_xlnm.Print_Area" localSheetId="4">'Anexo VI _ RES NOM'!$A$1:$G$58</definedName>
    <definedName name="_xlnm.Print_Area" localSheetId="5">'Anexo VII _ RES PRIM'!$A$1:$O$88</definedName>
    <definedName name="_xlnm.Print_Area" localSheetId="8">'Anexo X _ ENSINO'!$A$1:$H$198</definedName>
    <definedName name="_xlnm.Print_Area" localSheetId="9">'Anexo XVIII _ Simplificado'!$A$1:$E$122</definedName>
    <definedName name="Detalhes_do_Demonstrativo_MDE">#REF!</definedName>
    <definedName name="Detalhes_do_Demonstrativo_MDE_10" localSheetId="8">'Anexo X _ ENSINO'!#REF!</definedName>
    <definedName name="Detalhes_do_Demonstrativo_MDE_10">#REF!</definedName>
    <definedName name="Detalhes_do_Demonstrativo_MDE_11" localSheetId="7">'[1]Anexo X _ ENSINO'!#REF!</definedName>
    <definedName name="Detalhes_do_Demonstrativo_MDE_11" localSheetId="8">'[2]Anexo X _ ENSINO'!#REF!</definedName>
    <definedName name="Detalhes_do_Demonstrativo_MDE_11">'[3]Anexo X _ ENSINO'!#REF!</definedName>
    <definedName name="Detalhes_do_Demonstrativo_MDE_12" localSheetId="7">'[4]Anexo X _ ENSINO'!#REF!</definedName>
    <definedName name="Detalhes_do_Demonstrativo_MDE_12" localSheetId="8">'[5]Anexo X _ ENSINO'!#REF!</definedName>
    <definedName name="Detalhes_do_Demonstrativo_MDE_12">'[6]Anexo X _ ENSINO'!#REF!</definedName>
    <definedName name="Detalhes_do_Demonstrativo_MDE_13" localSheetId="7">'[1]Anexo X _ ENSINO'!#REF!</definedName>
    <definedName name="Detalhes_do_Demonstrativo_MDE_13" localSheetId="8">'[2]Anexo X _ ENSINO'!#REF!</definedName>
    <definedName name="Detalhes_do_Demonstrativo_MDE_13">'[3]Anexo X _ ENSINO'!#REF!</definedName>
    <definedName name="Detalhes_do_Demonstrativo_MDE_14" localSheetId="7">'[7]Anexo X _ ENSINO'!#REF!</definedName>
    <definedName name="Detalhes_do_Demonstrativo_MDE_14" localSheetId="8">'[8]Anexo X _ ENSINO'!#REF!</definedName>
    <definedName name="Detalhes_do_Demonstrativo_MDE_14">'[9]Anexo X _ ENSINO'!#REF!</definedName>
    <definedName name="Detalhes_do_Demonstrativo_MDE_15" localSheetId="7">'[10]Anexo X _ ENSINO'!#REF!</definedName>
    <definedName name="Detalhes_do_Demonstrativo_MDE_15" localSheetId="8">'[11]Anexo X _ ENSINO'!#REF!</definedName>
    <definedName name="Detalhes_do_Demonstrativo_MDE_15">'[12]Anexo X _ ENSINO'!#REF!</definedName>
    <definedName name="Detalhes_do_Demonstrativo_MDE_3">#REF!</definedName>
    <definedName name="Detalhes_do_Demonstrativo_MDE_4" localSheetId="7">'[13]Anexo X _ ENSINO'!#REF!</definedName>
    <definedName name="Detalhes_do_Demonstrativo_MDE_4" localSheetId="8">'[14]Anexo X _ ENSINO'!#REF!</definedName>
    <definedName name="Detalhes_do_Demonstrativo_MDE_4">'[15]Anexo X _ ENSINO'!#REF!</definedName>
    <definedName name="Detalhes_do_Demonstrativo_MDE_7" localSheetId="7">'[10]Anexo X _ ENSINO'!#REF!</definedName>
    <definedName name="Detalhes_do_Demonstrativo_MDE_7" localSheetId="8">'[11]Anexo X _ ENSINO'!#REF!</definedName>
    <definedName name="Detalhes_do_Demonstrativo_MDE_7">'[12]Anexo X _ ENSINO'!#REF!</definedName>
    <definedName name="Detalhes_do_Demonstrativo_MDE_8" localSheetId="7">'[10]Anexo X _ ENSINO'!#REF!</definedName>
    <definedName name="Detalhes_do_Demonstrativo_MDE_8" localSheetId="8">'[11]Anexo X _ ENSINO'!#REF!</definedName>
    <definedName name="Detalhes_do_Demonstrativo_MDE_8">'[12]Anexo X _ ENSINO'!#REF!</definedName>
    <definedName name="Detalhes_do_Demonstrativo_MDE_9" localSheetId="7">'[10]Anexo X _ ENSINO'!#REF!</definedName>
    <definedName name="Detalhes_do_Demonstrativo_MDE_9" localSheetId="8">'[11]Anexo X _ ENSINO'!#REF!</definedName>
    <definedName name="Detalhes_do_Demonstrativo_MDE_9">'[12]Anexo X _ ENSINO'!#REF!</definedName>
    <definedName name="Excel_BuiltIn_Print_Area_12">#REF!</definedName>
    <definedName name="Excel_BuiltIn_Print_Area_13">#REF!</definedName>
    <definedName name="Excel_BuiltIn_Print_Area_7">#REF!</definedName>
    <definedName name="Ganhos_e_perdas_de_receita">#REF!</definedName>
    <definedName name="Ganhos_e_perdas_de_receita_11">#REF!</definedName>
    <definedName name="Ganhos_e_perdas_de_receita_12">#REF!</definedName>
    <definedName name="Ganhos_e_perdas_de_receita_13">#REF!</definedName>
    <definedName name="Ganhos_e_perdas_de_receita_14">#REF!</definedName>
    <definedName name="Ganhos_e_perdas_de_receita_2">#REF!</definedName>
    <definedName name="Ganhos_e_perdas_de_receita_4">#REF!</definedName>
    <definedName name="Ganhos_e_perdas_de_receita_6">#REF!</definedName>
    <definedName name="Ganhos_e_perdas_de_receita_8">#REF!</definedName>
    <definedName name="Ganhos_e_Perdas_de_Receita_99">#REF!</definedName>
    <definedName name="Ganhos_e_Perdas_de_Receita_99_11">#REF!</definedName>
    <definedName name="Ganhos_e_Perdas_de_Receita_99_12">#REF!</definedName>
    <definedName name="Ganhos_e_Perdas_de_Receita_99_13">#REF!</definedName>
    <definedName name="Ganhos_e_Perdas_de_Receita_99_14">#REF!</definedName>
    <definedName name="Ganhos_e_Perdas_de_Receita_99_2">#REF!</definedName>
    <definedName name="Ganhos_e_Perdas_de_Receita_99_4">#REF!</definedName>
    <definedName name="Ganhos_e_Perdas_de_Receita_99_6">#REF!</definedName>
    <definedName name="Ganhos_e_Perdas_de_Receita_99_8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(#REF!,#REF!)</definedName>
    <definedName name="Planilha_1ÁreaTotal_11">(#REF!,#REF!)</definedName>
    <definedName name="Planilha_1ÁreaTotal_12">(#REF!,#REF!)</definedName>
    <definedName name="Planilha_1ÁreaTotal_13">(#REF!,#REF!)</definedName>
    <definedName name="Planilha_1ÁreaTotal_14">(#REF!,#REF!)</definedName>
    <definedName name="Planilha_1ÁreaTotal_2">(#REF!,#REF!)</definedName>
    <definedName name="Planilha_1ÁreaTotal_4">(#REF!,#REF!)</definedName>
    <definedName name="Planilha_1ÁreaTotal_6">#REF!,#REF!</definedName>
    <definedName name="Planilha_1ÁreaTotal_7">(#REF!,#REF!)</definedName>
    <definedName name="Planilha_1ÁreaTotal_8" localSheetId="7">'Anexo IX _ RP'!#REF!,'Anexo IX _ RP'!#REF!</definedName>
    <definedName name="Planilha_1ÁreaTotal_8" localSheetId="8">'[16]Anexo IX _ RP'!#REF!,'[16]Anexo IX _ RP'!#REF!</definedName>
    <definedName name="Planilha_1ÁreaTotal_8">#REF!,#REF!</definedName>
    <definedName name="Planilha_1ÁreaTotal_9">(#REF!,#REF!)</definedName>
    <definedName name="Planilha_1CabGráfico">#REF!</definedName>
    <definedName name="Planilha_1CabGráfico_11">#REF!</definedName>
    <definedName name="Planilha_1CabGráfico_12">#REF!</definedName>
    <definedName name="Planilha_1CabGráfico_13">#REF!</definedName>
    <definedName name="Planilha_1CabGráfico_14">#REF!</definedName>
    <definedName name="Planilha_1CabGráfico_2">#REF!</definedName>
    <definedName name="Planilha_1CabGráfico_4">#REF!</definedName>
    <definedName name="Planilha_1CabGráfico_6">#REF!</definedName>
    <definedName name="Planilha_1CabGráfico_7">#REF!</definedName>
    <definedName name="Planilha_1CabGráfico_8" localSheetId="7">'Anexo IX _ RP'!#REF!</definedName>
    <definedName name="Planilha_1CabGráfico_8" localSheetId="8">'[16]Anexo IX _ RP'!#REF!</definedName>
    <definedName name="Planilha_1CabGráfico_8">#REF!</definedName>
    <definedName name="Planilha_1CabGráfico_9">#REF!</definedName>
    <definedName name="Planilha_1TítCols">(#REF!,#REF!)</definedName>
    <definedName name="Planilha_1TítCols_11">(#REF!,#REF!)</definedName>
    <definedName name="Planilha_1TítCols_12">(#REF!,#REF!)</definedName>
    <definedName name="Planilha_1TítCols_13">(#REF!,#REF!)</definedName>
    <definedName name="Planilha_1TítCols_14">(#REF!,#REF!)</definedName>
    <definedName name="Planilha_1TítCols_2">(#REF!,#REF!)</definedName>
    <definedName name="Planilha_1TítCols_4">(#REF!,#REF!)</definedName>
    <definedName name="Planilha_1TítCols_6">#REF!,#REF!</definedName>
    <definedName name="Planilha_1TítCols_7">(#REF!,#REF!)</definedName>
    <definedName name="Planilha_1TítCols_8" localSheetId="7">'Anexo IX _ RP'!#REF!,'Anexo IX _ RP'!#REF!</definedName>
    <definedName name="Planilha_1TítCols_8" localSheetId="8">'[16]Anexo IX _ RP'!#REF!,'[16]Anexo IX _ RP'!#REF!</definedName>
    <definedName name="Planilha_1TítCols_8">#REF!,#REF!</definedName>
    <definedName name="Planilha_1TítCols_9">(#REF!,#REF!)</definedName>
    <definedName name="Planilha_1TítLins">#REF!</definedName>
    <definedName name="Planilha_1TítLins_11">#REF!</definedName>
    <definedName name="Planilha_1TítLins_12">#REF!</definedName>
    <definedName name="Planilha_1TítLins_13">#REF!</definedName>
    <definedName name="Planilha_1TítLins_14">#REF!</definedName>
    <definedName name="Planilha_1TítLins_2">#REF!</definedName>
    <definedName name="Planilha_1TítLins_4">#REF!</definedName>
    <definedName name="Planilha_1TítLins_6">#REF!</definedName>
    <definedName name="Planilha_1TítLins_7">#REF!</definedName>
    <definedName name="Planilha_1TítLins_8" localSheetId="7">'Anexo IX _ RP'!#REF!</definedName>
    <definedName name="Planilha_1TítLins_8" localSheetId="8">'[16]Anexo IX _ RP'!#REF!</definedName>
    <definedName name="Planilha_1TítLins_8">#REF!</definedName>
    <definedName name="Planilha_1TítLins_9">#REF!</definedName>
    <definedName name="Planilha_2ÁreaTotal">(#REF!,#REF!)</definedName>
    <definedName name="Planilha_2ÁreaTotal_11">(#REF!,#REF!)</definedName>
    <definedName name="Planilha_2ÁreaTotal_12">(#REF!,#REF!)</definedName>
    <definedName name="Planilha_2ÁreaTotal_13">(#REF!,#REF!)</definedName>
    <definedName name="Planilha_2ÁreaTotal_14">(#REF!,#REF!)</definedName>
    <definedName name="Planilha_2ÁreaTotal_2">(#REF!,#REF!)</definedName>
    <definedName name="Planilha_2ÁreaTotal_4">(#REF!,#REF!)</definedName>
    <definedName name="Planilha_2ÁreaTotal_6">#REF!,#REF!</definedName>
    <definedName name="Planilha_2ÁreaTotal_8">#REF!,#REF!</definedName>
    <definedName name="Planilha_2CabGráfico">#REF!</definedName>
    <definedName name="Planilha_2CabGráfico_11">#REF!</definedName>
    <definedName name="Planilha_2CabGráfico_12">#REF!</definedName>
    <definedName name="Planilha_2CabGráfico_13">#REF!</definedName>
    <definedName name="Planilha_2CabGráfico_14">#REF!</definedName>
    <definedName name="Planilha_2CabGráfico_2">#REF!</definedName>
    <definedName name="Planilha_2CabGráfico_4">#REF!</definedName>
    <definedName name="Planilha_2CabGráfico_6">#REF!</definedName>
    <definedName name="Planilha_2CabGráfico_8">#REF!</definedName>
    <definedName name="Planilha_2TítCols">(#REF!,#REF!)</definedName>
    <definedName name="Planilha_2TítCols_11">(#REF!,#REF!)</definedName>
    <definedName name="Planilha_2TítCols_12">(#REF!,#REF!)</definedName>
    <definedName name="Planilha_2TítCols_13">(#REF!,#REF!)</definedName>
    <definedName name="Planilha_2TítCols_14">(#REF!,#REF!)</definedName>
    <definedName name="Planilha_2TítCols_2">(#REF!,#REF!)</definedName>
    <definedName name="Planilha_2TítCols_4">(#REF!,#REF!)</definedName>
    <definedName name="Planilha_2TítCols_6">#REF!,#REF!</definedName>
    <definedName name="Planilha_2TítCols_8">#REF!,#REF!</definedName>
    <definedName name="Planilha_2TítLins">#REF!</definedName>
    <definedName name="Planilha_2TítLins_11">#REF!</definedName>
    <definedName name="Planilha_2TítLins_12">#REF!</definedName>
    <definedName name="Planilha_2TítLins_13">#REF!</definedName>
    <definedName name="Planilha_2TítLins_14">#REF!</definedName>
    <definedName name="Planilha_2TítLins_2">#REF!</definedName>
    <definedName name="Planilha_2TítLins_4">#REF!</definedName>
    <definedName name="Planilha_2TítLins_6">#REF!</definedName>
    <definedName name="Planilha_2TítLins_8">#REF!</definedName>
    <definedName name="Planilha_3ÁreaTotal">(#REF!,#REF!)</definedName>
    <definedName name="Planilha_3ÁreaTotal_11">(#REF!,#REF!)</definedName>
    <definedName name="Planilha_3ÁreaTotal_12">(#REF!,#REF!)</definedName>
    <definedName name="Planilha_3ÁreaTotal_13">(#REF!,#REF!)</definedName>
    <definedName name="Planilha_3ÁreaTotal_14">(#REF!,#REF!)</definedName>
    <definedName name="Planilha_3ÁreaTotal_2">(#REF!,#REF!)</definedName>
    <definedName name="Planilha_3ÁreaTotal_4">(#REF!,#REF!)</definedName>
    <definedName name="Planilha_3ÁreaTotal_6">#REF!,#REF!</definedName>
    <definedName name="Planilha_3ÁreaTotal_8">#REF!,#REF!</definedName>
    <definedName name="Planilha_3CabGráfico">#REF!</definedName>
    <definedName name="Planilha_3CabGráfico_11">#REF!</definedName>
    <definedName name="Planilha_3CabGráfico_12">#REF!</definedName>
    <definedName name="Planilha_3CabGráfico_13">#REF!</definedName>
    <definedName name="Planilha_3CabGráfico_14">#REF!</definedName>
    <definedName name="Planilha_3CabGráfico_2">#REF!</definedName>
    <definedName name="Planilha_3CabGráfico_4">#REF!</definedName>
    <definedName name="Planilha_3CabGráfico_6">#REF!</definedName>
    <definedName name="Planilha_3CabGráfico_8">#REF!</definedName>
    <definedName name="Planilha_3TítCols">(#REF!,#REF!)</definedName>
    <definedName name="Planilha_3TítCols_11">(#REF!,#REF!)</definedName>
    <definedName name="Planilha_3TítCols_12">(#REF!,#REF!)</definedName>
    <definedName name="Planilha_3TítCols_13">(#REF!,#REF!)</definedName>
    <definedName name="Planilha_3TítCols_14">(#REF!,#REF!)</definedName>
    <definedName name="Planilha_3TítCols_2">(#REF!,#REF!)</definedName>
    <definedName name="Planilha_3TítCols_4">(#REF!,#REF!)</definedName>
    <definedName name="Planilha_3TítCols_6">#REF!,#REF!</definedName>
    <definedName name="Planilha_3TítCols_8">#REF!,#REF!</definedName>
    <definedName name="Planilha_3TítLins">#REF!</definedName>
    <definedName name="Planilha_3TítLins_11">#REF!</definedName>
    <definedName name="Planilha_3TítLins_12">#REF!</definedName>
    <definedName name="Planilha_3TítLins_13">#REF!</definedName>
    <definedName name="Planilha_3TítLins_14">#REF!</definedName>
    <definedName name="Planilha_3TítLins_2">#REF!</definedName>
    <definedName name="Planilha_3TítLins_4">#REF!</definedName>
    <definedName name="Planilha_3TítLins_6">#REF!</definedName>
    <definedName name="Planilha_3TítLins_8">#REF!</definedName>
    <definedName name="Planilha_4ÁreaTotal">(#REF!,#REF!)</definedName>
    <definedName name="Planilha_4ÁreaTotal_6">#REF!,#REF!</definedName>
    <definedName name="Planilha_4ÁreaTotal_8">#REF!,#REF!</definedName>
    <definedName name="Planilha_4TítCols">(#REF!,#REF!)</definedName>
    <definedName name="Planilha_4TítCols_6">#REF!,#REF!</definedName>
    <definedName name="Planilha_4TítCols_8">#REF!,#REF!</definedName>
    <definedName name="Tabela_1___Déficit_da_Previdência_Social__RGPS">#REF!</definedName>
    <definedName name="Tabela_1___Déficit_da_Previdência_Social__RGPS_11">#REF!</definedName>
    <definedName name="Tabela_1___Déficit_da_Previdência_Social__RGPS_12">#REF!</definedName>
    <definedName name="Tabela_1___Déficit_da_Previdência_Social__RGPS_13">#REF!</definedName>
    <definedName name="Tabela_1___Déficit_da_Previdência_Social__RGPS_14">#REF!</definedName>
    <definedName name="Tabela_1___Déficit_da_Previdência_Social__RGPS_2">#REF!</definedName>
    <definedName name="Tabela_1___Déficit_da_Previdência_Social__RGPS_4">#REF!</definedName>
    <definedName name="Tabela_1___Déficit_da_Previdência_Social__RGPS_6">#REF!</definedName>
    <definedName name="Tabela_1___Déficit_da_Previdência_Social__RGPS_8">#REF!</definedName>
    <definedName name="Tabela_10___Resultado_Primário_do_Governo_Central_em_1999">#REF!</definedName>
    <definedName name="Tabela_10___Resultado_Primário_do_Governo_Central_em_1999_11">#REF!</definedName>
    <definedName name="Tabela_10___Resultado_Primário_do_Governo_Central_em_1999_12">#REF!</definedName>
    <definedName name="Tabela_10___Resultado_Primário_do_Governo_Central_em_1999_13">#REF!</definedName>
    <definedName name="Tabela_10___Resultado_Primário_do_Governo_Central_em_1999_14">#REF!</definedName>
    <definedName name="Tabela_10___Resultado_Primário_do_Governo_Central_em_1999_2">#REF!</definedName>
    <definedName name="Tabela_10___Resultado_Primário_do_Governo_Central_em_1999_4">#REF!</definedName>
    <definedName name="Tabela_10___Resultado_Primário_do_Governo_Central_em_1999_6">#REF!</definedName>
    <definedName name="Tabela_10___Resultado_Primário_do_Governo_Central_em_1999_8">#REF!</definedName>
    <definedName name="Tabela_2___Contribuições_Previdenciárias">#REF!</definedName>
    <definedName name="Tabela_2___Contribuições_Previdenciárias_11">#REF!</definedName>
    <definedName name="Tabela_2___Contribuições_Previdenciárias_12">#REF!</definedName>
    <definedName name="Tabela_2___Contribuições_Previdenciárias_13">#REF!</definedName>
    <definedName name="Tabela_2___Contribuições_Previdenciárias_14">#REF!</definedName>
    <definedName name="Tabela_2___Contribuições_Previdenciárias_2">#REF!</definedName>
    <definedName name="Tabela_2___Contribuições_Previdenciárias_4">#REF!</definedName>
    <definedName name="Tabela_2___Contribuições_Previdenciárias_6">#REF!</definedName>
    <definedName name="Tabela_2___Contribuições_Previdenciárias_8">#REF!</definedName>
    <definedName name="Tabela_3___Benefícios__previsto_x_realizado">#REF!</definedName>
    <definedName name="Tabela_3___Benefícios__previsto_x_realizado_11">#REF!</definedName>
    <definedName name="Tabela_3___Benefícios__previsto_x_realizado_12">#REF!</definedName>
    <definedName name="Tabela_3___Benefícios__previsto_x_realizado_13">#REF!</definedName>
    <definedName name="Tabela_3___Benefícios__previsto_x_realizado_14">#REF!</definedName>
    <definedName name="Tabela_3___Benefícios__previsto_x_realizado_2">#REF!</definedName>
    <definedName name="Tabela_3___Benefícios__previsto_x_realizado_4">#REF!</definedName>
    <definedName name="Tabela_3___Benefícios__previsto_x_realizado_6">#REF!</definedName>
    <definedName name="Tabela_3___Benefícios__previsto_x_realizado_8">#REF!</definedName>
    <definedName name="Tabela_4___Receitas_Administradas_pela_SRF__previsto_x_realizado">#REF!</definedName>
    <definedName name="Tabela_4___Receitas_Administradas_pela_SRF__previsto_x_realizado_11">#REF!</definedName>
    <definedName name="Tabela_4___Receitas_Administradas_pela_SRF__previsto_x_realizado_12">#REF!</definedName>
    <definedName name="Tabela_4___Receitas_Administradas_pela_SRF__previsto_x_realizado_13">#REF!</definedName>
    <definedName name="Tabela_4___Receitas_Administradas_pela_SRF__previsto_x_realizado_14">#REF!</definedName>
    <definedName name="Tabela_4___Receitas_Administradas_pela_SRF__previsto_x_realizado_2">#REF!</definedName>
    <definedName name="Tabela_4___Receitas_Administradas_pela_SRF__previsto_x_realizado_4">#REF!</definedName>
    <definedName name="Tabela_4___Receitas_Administradas_pela_SRF__previsto_x_realizado_6">#REF!</definedName>
    <definedName name="Tabela_4___Receitas_Administradas_pela_SRF__previsto_x_realizado_8">#REF!</definedName>
    <definedName name="Tabela_5___Receitas_Administradas_em_Agosto">#REF!</definedName>
    <definedName name="Tabela_5___Receitas_Administradas_em_Agosto_11">#REF!</definedName>
    <definedName name="Tabela_5___Receitas_Administradas_em_Agosto_12">#REF!</definedName>
    <definedName name="Tabela_5___Receitas_Administradas_em_Agosto_13">#REF!</definedName>
    <definedName name="Tabela_5___Receitas_Administradas_em_Agosto_14">#REF!</definedName>
    <definedName name="Tabela_5___Receitas_Administradas_em_Agosto_2">#REF!</definedName>
    <definedName name="Tabela_5___Receitas_Administradas_em_Agosto_4">#REF!</definedName>
    <definedName name="Tabela_5___Receitas_Administradas_em_Agosto_6">#REF!</definedName>
    <definedName name="Tabela_5___Receitas_Administradas_em_Agosto_8">#REF!</definedName>
    <definedName name="Tabela_6___Receitas_Diretamente_Arrecadadas">#REF!</definedName>
    <definedName name="Tabela_6___Receitas_Diretamente_Arrecadadas_11">#REF!</definedName>
    <definedName name="Tabela_6___Receitas_Diretamente_Arrecadadas_12">#REF!</definedName>
    <definedName name="Tabela_6___Receitas_Diretamente_Arrecadadas_13">#REF!</definedName>
    <definedName name="Tabela_6___Receitas_Diretamente_Arrecadadas_14">#REF!</definedName>
    <definedName name="Tabela_6___Receitas_Diretamente_Arrecadadas_2">#REF!</definedName>
    <definedName name="Tabela_6___Receitas_Diretamente_Arrecadadas_4">#REF!</definedName>
    <definedName name="Tabela_6___Receitas_Diretamente_Arrecadadas_6">#REF!</definedName>
    <definedName name="Tabela_6___Receitas_Diretamente_Arrecadadas_8">#REF!</definedName>
    <definedName name="Tabela_7___Déficit_da_Previdência_Social_em_1999">#REF!</definedName>
    <definedName name="Tabela_7___Déficit_da_Previdência_Social_em_1999_11">#REF!</definedName>
    <definedName name="Tabela_7___Déficit_da_Previdência_Social_em_1999_12">#REF!</definedName>
    <definedName name="Tabela_7___Déficit_da_Previdência_Social_em_1999_13">#REF!</definedName>
    <definedName name="Tabela_7___Déficit_da_Previdência_Social_em_1999_14">#REF!</definedName>
    <definedName name="Tabela_7___Déficit_da_Previdência_Social_em_1999_2">#REF!</definedName>
    <definedName name="Tabela_7___Déficit_da_Previdência_Social_em_1999_4">#REF!</definedName>
    <definedName name="Tabela_7___Déficit_da_Previdência_Social_em_1999_6">#REF!</definedName>
    <definedName name="Tabela_7___Déficit_da_Previdência_Social_em_1999_8">#REF!</definedName>
    <definedName name="Tabela_8___Receitas_Administradas__revisão_da_previsão">#REF!</definedName>
    <definedName name="Tabela_8___Receitas_Administradas__revisão_da_previsão_11">#REF!</definedName>
    <definedName name="Tabela_8___Receitas_Administradas__revisão_da_previsão_12">#REF!</definedName>
    <definedName name="Tabela_8___Receitas_Administradas__revisão_da_previsão_13">#REF!</definedName>
    <definedName name="Tabela_8___Receitas_Administradas__revisão_da_previsão_14">#REF!</definedName>
    <definedName name="Tabela_8___Receitas_Administradas__revisão_da_previsão_2">#REF!</definedName>
    <definedName name="Tabela_8___Receitas_Administradas__revisão_da_previsão_4">#REF!</definedName>
    <definedName name="Tabela_8___Receitas_Administradas__revisão_da_previsão_6">#REF!</definedName>
    <definedName name="Tabela_8___Receitas_Administradas__revisão_da_previsão_8">#REF!</definedName>
    <definedName name="Tabela_9___Resultado_Primário_de_1999">#REF!</definedName>
    <definedName name="Tabela_9___Resultado_Primário_de_1999_11">#REF!</definedName>
    <definedName name="Tabela_9___Resultado_Primário_de_1999_12">#REF!</definedName>
    <definedName name="Tabela_9___Resultado_Primário_de_1999_13">#REF!</definedName>
    <definedName name="Tabela_9___Resultado_Primário_de_1999_14">#REF!</definedName>
    <definedName name="Tabela_9___Resultado_Primário_de_1999_2">#REF!</definedName>
    <definedName name="Tabela_9___Resultado_Primário_de_1999_4">#REF!</definedName>
    <definedName name="Tabela_9___Resultado_Primário_de_1999_6">#REF!</definedName>
    <definedName name="Tabela_9___Resultado_Primário_de_1999_8">#REF!</definedName>
  </definedNames>
  <calcPr fullCalcOnLoad="1"/>
</workbook>
</file>

<file path=xl/comments1.xml><?xml version="1.0" encoding="utf-8"?>
<comments xmlns="http://schemas.openxmlformats.org/spreadsheetml/2006/main">
  <authors>
    <author>durvalfbf</author>
  </authors>
  <commentList>
    <comment ref="G27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 Transferências Intergovernamentais - Deduções da Receita
</t>
        </r>
      </text>
    </comment>
    <comment ref="A27" authorId="0">
      <text>
        <r>
          <rPr>
            <b/>
            <sz val="9"/>
            <rFont val="Tahoma"/>
            <family val="2"/>
          </rPr>
          <t>deduzir FUNDB</t>
        </r>
        <r>
          <rPr>
            <sz val="9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=Transferências governamentais - deduções da receita</t>
        </r>
      </text>
    </comment>
    <comment ref="C27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=Transferências governamentais - deduções da receita</t>
        </r>
      </text>
    </comment>
    <comment ref="G48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=Intra-Deduções que não sejam do FUNDEB
</t>
        </r>
      </text>
    </comment>
  </commentList>
</comments>
</file>

<file path=xl/comments6.xml><?xml version="1.0" encoding="utf-8"?>
<comments xmlns="http://schemas.openxmlformats.org/spreadsheetml/2006/main">
  <authors>
    <author>durvalfbf</author>
  </authors>
  <commentList>
    <comment ref="D30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=outras receitas correntes-dívida ativa + receitas de serviços</t>
        </r>
      </text>
    </comment>
    <comment ref="D24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=FPM- dedução da receita</t>
        </r>
      </text>
    </comment>
    <comment ref="D25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=ICMS- dedução da receita</t>
        </r>
      </text>
    </comment>
    <comment ref="D27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=Total tc- fpm-icms-transf.convênios-dedução da receita</t>
        </r>
      </text>
    </comment>
    <comment ref="D40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=Total geral- intra -aplicação financeira- capital</t>
        </r>
      </text>
    </comment>
    <comment ref="B30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=Outras rec.corentes-Dívida Ativa+ Receitas de serviços</t>
        </r>
      </text>
    </comment>
  </commentList>
</comments>
</file>

<file path=xl/comments9.xml><?xml version="1.0" encoding="utf-8"?>
<comments xmlns="http://schemas.openxmlformats.org/spreadsheetml/2006/main">
  <authors>
    <author>GGBrito</author>
  </authors>
  <commentList>
    <comment ref="E131" authorId="0">
      <text>
        <r>
          <rPr>
            <b/>
            <sz val="9"/>
            <rFont val="Tahoma"/>
            <family val="2"/>
          </rPr>
          <t>=linhas 13.2 + 14.2</t>
        </r>
        <r>
          <rPr>
            <sz val="9"/>
            <rFont val="Tahoma"/>
            <family val="2"/>
          </rPr>
          <t xml:space="preserve">
</t>
        </r>
      </text>
    </comment>
    <comment ref="F129" authorId="0">
      <text>
        <r>
          <rPr>
            <sz val="9"/>
            <rFont val="Tahoma"/>
            <family val="2"/>
          </rPr>
          <t>=Fonte 102 - Infantil e Especial</t>
        </r>
      </text>
    </comment>
    <comment ref="E129" authorId="0">
      <text>
        <r>
          <rPr>
            <sz val="9"/>
            <rFont val="Tahoma"/>
            <family val="2"/>
          </rPr>
          <t>=Fonte 102 - Infantil e Especial</t>
        </r>
      </text>
    </comment>
    <comment ref="E128" authorId="0">
      <text>
        <r>
          <rPr>
            <b/>
            <sz val="9"/>
            <rFont val="Tahoma"/>
            <family val="2"/>
          </rPr>
          <t>=linhas 13.1 + 14.1</t>
        </r>
        <r>
          <rPr>
            <sz val="9"/>
            <rFont val="Tahoma"/>
            <family val="2"/>
          </rPr>
          <t xml:space="preserve">
</t>
        </r>
      </text>
    </comment>
    <comment ref="A103" authorId="0">
      <text>
        <r>
          <rPr>
            <sz val="9"/>
            <rFont val="Tahoma"/>
            <family val="2"/>
          </rPr>
          <t>=Subfunção 361 e 367</t>
        </r>
      </text>
    </comment>
    <comment ref="F128" authorId="0">
      <text>
        <r>
          <rPr>
            <b/>
            <sz val="9"/>
            <rFont val="Tahoma"/>
            <family val="2"/>
          </rPr>
          <t>=linhas 13.1 + 14.1</t>
        </r>
        <r>
          <rPr>
            <sz val="9"/>
            <rFont val="Tahoma"/>
            <family val="2"/>
          </rPr>
          <t xml:space="preserve">
</t>
        </r>
      </text>
    </comment>
    <comment ref="F131" authorId="0">
      <text>
        <r>
          <rPr>
            <b/>
            <sz val="9"/>
            <rFont val="Tahoma"/>
            <family val="2"/>
          </rPr>
          <t>=linhas 13.2 + 14.2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<sst xmlns="http://schemas.openxmlformats.org/spreadsheetml/2006/main" count="1089" uniqueCount="792">
  <si>
    <t>RELATÓRIO RESUMIDO DA EXECUÇÃO ORÇAMENTÁRIA</t>
  </si>
  <si>
    <t>BALANÇO ORÇAMENTÁRIO - PREFEITURA MUNICIPAL DE SÃO LUÍS (MA)</t>
  </si>
  <si>
    <t>ORÇAMENTOS FISCAL E DA SEGURIDADE SOCIAL</t>
  </si>
  <si>
    <t>RECEITAS</t>
  </si>
  <si>
    <t xml:space="preserve"> PREVISÃO INICIAL </t>
  </si>
  <si>
    <t xml:space="preserve"> PREVISÃO       ATUALIZADA </t>
  </si>
  <si>
    <t xml:space="preserve"> RECEITAS REALIZADAS </t>
  </si>
  <si>
    <t xml:space="preserve"> SALDO  A   REALIZAR </t>
  </si>
  <si>
    <t xml:space="preserve"> No Bimestre </t>
  </si>
  <si>
    <t xml:space="preserve"> % </t>
  </si>
  <si>
    <t xml:space="preserve"> Até o bimestre </t>
  </si>
  <si>
    <t xml:space="preserve"> (a) </t>
  </si>
  <si>
    <t xml:space="preserve"> (b) </t>
  </si>
  <si>
    <t xml:space="preserve"> (b/a) </t>
  </si>
  <si>
    <t xml:space="preserve"> (c) </t>
  </si>
  <si>
    <t xml:space="preserve"> (c/a) </t>
  </si>
  <si>
    <t xml:space="preserve"> (a-c) </t>
  </si>
  <si>
    <t>RECEITAS (EXCETO INTRA-ORÇAMENTÁRIAS) - I</t>
  </si>
  <si>
    <t>RECEITAS CORRENTES</t>
  </si>
  <si>
    <t>RECEITA TRIBUTARIA</t>
  </si>
  <si>
    <t>Impostos</t>
  </si>
  <si>
    <t>Taxas</t>
  </si>
  <si>
    <t>Contribuição de Melhoria</t>
  </si>
  <si>
    <t xml:space="preserve"> -   </t>
  </si>
  <si>
    <t>RECEITA DE CONTRIBUICOES</t>
  </si>
  <si>
    <t>Contribuicões Sociais</t>
  </si>
  <si>
    <t>Contribuições Econômicas</t>
  </si>
  <si>
    <t>RECEITA PATRIMONIAL</t>
  </si>
  <si>
    <t>Receitas Imobiliárias</t>
  </si>
  <si>
    <t>Receitas de Valores Mobiliários</t>
  </si>
  <si>
    <t>Compensações Financeiras</t>
  </si>
  <si>
    <t>Receita de Concessões e Permissões</t>
  </si>
  <si>
    <t>Outras Receitas Patrimoniais</t>
  </si>
  <si>
    <t>RECEITA DE SERVICOS</t>
  </si>
  <si>
    <t>Receita de Serviços</t>
  </si>
  <si>
    <t>TRANSFERENCIAS CORRENTES</t>
  </si>
  <si>
    <t>Transferências Intergovernamentais</t>
  </si>
  <si>
    <t>Transferências de Inst. Privadas</t>
  </si>
  <si>
    <t>Transferências de Convênios</t>
  </si>
  <si>
    <t>OUTRAS RECEITAS CORRENTES</t>
  </si>
  <si>
    <t>Multas e Juros de Mora</t>
  </si>
  <si>
    <t>Indenizações e Restituições</t>
  </si>
  <si>
    <t>Receita da Dívida Ativa</t>
  </si>
  <si>
    <t>Receitas Correntes Diversas</t>
  </si>
  <si>
    <t>RECEITAS DE CAPITAL</t>
  </si>
  <si>
    <t xml:space="preserve">OPERACOES DE CREDITO  </t>
  </si>
  <si>
    <t>Operações de Crédito Internas</t>
  </si>
  <si>
    <t>Operações de Crédito Externas</t>
  </si>
  <si>
    <t>ALIENACAO DE BENS</t>
  </si>
  <si>
    <t>Alienação de Bens Móveis</t>
  </si>
  <si>
    <t>Alienação de Bens Imóveis</t>
  </si>
  <si>
    <t>TRANSFERENCIAS DE CAPITAL</t>
  </si>
  <si>
    <t>Transferências Inst. Privadas</t>
  </si>
  <si>
    <t>OUTRAS RECEITAS DE CAPITAL</t>
  </si>
  <si>
    <t>Receitas de Capital Diversas</t>
  </si>
  <si>
    <t>RECEITAS INTRA-ORÇAMENTÁRIAS (II)</t>
  </si>
  <si>
    <t>SUBTOTAL DAS RECEITAS  (III = I + II)</t>
  </si>
  <si>
    <t xml:space="preserve"> Mobiliária</t>
  </si>
  <si>
    <t>Contratual</t>
  </si>
  <si>
    <t>SUBTOTAL COM REFINANCIAMENTO (V) = (III+IV)</t>
  </si>
  <si>
    <t>DÉFICIT (VI)</t>
  </si>
  <si>
    <t>TOTAL (VII) = V+VI)</t>
  </si>
  <si>
    <t>SALDO DE EXERCÍCIOS ANTERIORES UTILIZADOS PARA CRÉDITOS ADICIONAIS</t>
  </si>
  <si>
    <t xml:space="preserve">                                           </t>
  </si>
  <si>
    <t xml:space="preserve"> DOTAÇÃO </t>
  </si>
  <si>
    <t xml:space="preserve"> CRÉDITOS </t>
  </si>
  <si>
    <t xml:space="preserve"> DESPESAS EMPENHADAS </t>
  </si>
  <si>
    <t xml:space="preserve"> DESPESAS EXECUTADAS </t>
  </si>
  <si>
    <t xml:space="preserve"> SALDO                                   A                                EXECUTAR</t>
  </si>
  <si>
    <t>LIQUIDADAS</t>
  </si>
  <si>
    <t>INSCRITOS EM                                RPNP                          (k)</t>
  </si>
  <si>
    <t>DESPESAS</t>
  </si>
  <si>
    <t xml:space="preserve">  INICIAL         </t>
  </si>
  <si>
    <t xml:space="preserve"> ADICIONAIS </t>
  </si>
  <si>
    <t xml:space="preserve"> ATUALIZADA   </t>
  </si>
  <si>
    <t xml:space="preserve"> Até o  Bimestre   </t>
  </si>
  <si>
    <t xml:space="preserve"> (d) </t>
  </si>
  <si>
    <t xml:space="preserve"> (e) </t>
  </si>
  <si>
    <t xml:space="preserve"> (f)=(d+e) </t>
  </si>
  <si>
    <t xml:space="preserve"> (g) </t>
  </si>
  <si>
    <t xml:space="preserve"> (h) </t>
  </si>
  <si>
    <t xml:space="preserve"> (i) </t>
  </si>
  <si>
    <t xml:space="preserve"> (j) </t>
  </si>
  <si>
    <t xml:space="preserve"> ((j+k) / f) </t>
  </si>
  <si>
    <t xml:space="preserve"> (f-(j+k)) </t>
  </si>
  <si>
    <t>DESPESAS (EXCETO INTRA-ORÇ.) (VIII)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</si>
  <si>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</si>
  <si>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</si>
  <si>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</si>
  <si>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</si>
  <si>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</si>
  <si>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</si>
  <si>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</si>
  <si>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</si>
  <si>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</si>
  <si>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</si>
  <si>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>DESPESAS INTRA-ORÇAMENTÁRIAS (IX)</t>
  </si>
  <si>
    <t>SUBTOTAL DAS DESPESAS (X) = VIII + IX</t>
  </si>
  <si>
    <t>Amortização da Dívida Interna</t>
  </si>
  <si>
    <t>Dívida Mobiliária</t>
  </si>
  <si>
    <t>Outras Dívidas</t>
  </si>
  <si>
    <t>Amortização da Dívida Externa</t>
  </si>
  <si>
    <t>SUBTOTAL C/ REFINANCIAMENTO (XII) = (X + XI)</t>
  </si>
  <si>
    <t>SUPERÁVIT (XIII)</t>
  </si>
  <si>
    <t>TOTAL (XIV) = (XII + XIII)</t>
  </si>
  <si>
    <t>FONTE: SECRETARIA MUNICIPAL DA FAZENDA</t>
  </si>
  <si>
    <t>Nota: 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</si>
  <si>
    <t>a) Despesas liquidadas, consideradas aquelas em que houve a entrega do material ou serviço, nos termos do art. 63 da Lei 4.320/64;</t>
  </si>
  <si>
    <t>b) Despesas empenhadas mas não liquidadas, inscritas em Restos a Pagar não-processados, consideradas liquidadas no encerramento do exercício, por força do art.35, inciso II da Lei 4.320/64.</t>
  </si>
  <si>
    <t>Prefeitura de São Luís (MA)</t>
  </si>
  <si>
    <t>Relatório Resumido da Execução Orçamentária</t>
  </si>
  <si>
    <t>Demonstrativo da Execuçäo das Despesas por Funçäo e Subfunção</t>
  </si>
  <si>
    <t>Orçamentos Fiscal e da Seguridade Social</t>
  </si>
  <si>
    <t>Função Sub-Função</t>
  </si>
  <si>
    <t>Dotação</t>
  </si>
  <si>
    <t>Despesa Empenhada</t>
  </si>
  <si>
    <t>Despesa Executada</t>
  </si>
  <si>
    <t>SALDO A EXECUTAR</t>
  </si>
  <si>
    <t>Liquidada</t>
  </si>
  <si>
    <t>%</t>
  </si>
  <si>
    <t xml:space="preserve">Inicial </t>
  </si>
  <si>
    <t>Atualizada</t>
  </si>
  <si>
    <t>No Bimestre</t>
  </si>
  <si>
    <t>Até o Bimestre</t>
  </si>
  <si>
    <t>(b/total b)</t>
  </si>
  <si>
    <t>(a)</t>
  </si>
  <si>
    <t>(b)</t>
  </si>
  <si>
    <t>(b/a)</t>
  </si>
  <si>
    <t>(a - (b+c))</t>
  </si>
  <si>
    <t>DESPESA (EXCETO INTRA) - I</t>
  </si>
  <si>
    <t xml:space="preserve"> LEGISLATIVA</t>
  </si>
  <si>
    <t xml:space="preserve">    Ação Legislativa</t>
  </si>
  <si>
    <t xml:space="preserve">   Administração Geral</t>
  </si>
  <si>
    <t xml:space="preserve">    Previdência do Regime Estatutário</t>
  </si>
  <si>
    <t xml:space="preserve"> ESSENCIAL À JUSTIÇA</t>
  </si>
  <si>
    <t xml:space="preserve">    Rep. Judicial e Extrajudicial</t>
  </si>
  <si>
    <t xml:space="preserve">    Administração Geral</t>
  </si>
  <si>
    <t xml:space="preserve"> ADMINISTRAÇÃO</t>
  </si>
  <si>
    <t xml:space="preserve">   Planejamento e Orçamento</t>
  </si>
  <si>
    <t xml:space="preserve">   Administração Financeira</t>
  </si>
  <si>
    <t xml:space="preserve">   Controle Interno</t>
  </si>
  <si>
    <t xml:space="preserve">   Tecnologia da Informação</t>
  </si>
  <si>
    <t xml:space="preserve">   Formação de Recursos Humanos</t>
  </si>
  <si>
    <t xml:space="preserve">   Administração de Receitas</t>
  </si>
  <si>
    <t xml:space="preserve">   Comunicação Social</t>
  </si>
  <si>
    <t xml:space="preserve">   Direitos individuais, coletivos e difusos</t>
  </si>
  <si>
    <t xml:space="preserve"> SEGURANÇA PÚBLICA</t>
  </si>
  <si>
    <t xml:space="preserve">   Policiamento </t>
  </si>
  <si>
    <t xml:space="preserve">   Defesa Civil </t>
  </si>
  <si>
    <t xml:space="preserve"> ASSISTÊNCIA SOCIAL</t>
  </si>
  <si>
    <t xml:space="preserve">   Assistência ao Idoso</t>
  </si>
  <si>
    <t xml:space="preserve">   Assistência ao Portador Deficiência</t>
  </si>
  <si>
    <t xml:space="preserve">   Assistência à criança e ao adolescente</t>
  </si>
  <si>
    <t xml:space="preserve">   Assistência Comunitária</t>
  </si>
  <si>
    <t xml:space="preserve"> PREVIDÊNCIA SOCIAL</t>
  </si>
  <si>
    <t xml:space="preserve">   Previdência Básica</t>
  </si>
  <si>
    <t xml:space="preserve">   Previdência do Regime Estatutário</t>
  </si>
  <si>
    <t xml:space="preserve"> SAÚDE</t>
  </si>
  <si>
    <t xml:space="preserve">   Atenção Básica</t>
  </si>
  <si>
    <t xml:space="preserve">   Assist. Hospitalar e Ambulatorial</t>
  </si>
  <si>
    <t xml:space="preserve">   Vigilância Sanitária </t>
  </si>
  <si>
    <t xml:space="preserve">   Vigilância Epidemiológica</t>
  </si>
  <si>
    <t xml:space="preserve"> TRABALHO</t>
  </si>
  <si>
    <t xml:space="preserve">   Proteção e Benefícios Trabalhador</t>
  </si>
  <si>
    <t xml:space="preserve">   Empregabilidade</t>
  </si>
  <si>
    <t xml:space="preserve">   Fomento ao Trabalho</t>
  </si>
  <si>
    <t xml:space="preserve">   Ensino Profissional</t>
  </si>
  <si>
    <t xml:space="preserve"> EDUCAÇÃO</t>
  </si>
  <si>
    <t xml:space="preserve">   Ensino Fundamental</t>
  </si>
  <si>
    <t xml:space="preserve">   Educação Infantil </t>
  </si>
  <si>
    <t xml:space="preserve">   Educação de Jovens e Adultos</t>
  </si>
  <si>
    <t xml:space="preserve">   Educação Especial</t>
  </si>
  <si>
    <t xml:space="preserve">   Preservação e Conservação Ambiental</t>
  </si>
  <si>
    <t xml:space="preserve"> CULTURA</t>
  </si>
  <si>
    <t xml:space="preserve">   Pat. Hist. Art. e Arqueológico</t>
  </si>
  <si>
    <t xml:space="preserve">   Difusão Cultural</t>
  </si>
  <si>
    <t xml:space="preserve"> DIREITOS DA CIDADANIA</t>
  </si>
  <si>
    <t xml:space="preserve">   Alimentação e Nutrição</t>
  </si>
  <si>
    <t>CONTINUA 1/2</t>
  </si>
  <si>
    <t>Inscritos em                                Restos a Pagar                         Não Porcessados       (c)</t>
  </si>
  <si>
    <t>((b+c) / Total (b+c))</t>
  </si>
  <si>
    <t>((b+c) / a)</t>
  </si>
  <si>
    <t xml:space="preserve"> URBANISMO</t>
  </si>
  <si>
    <t xml:space="preserve">   Normatização e Fiscalização</t>
  </si>
  <si>
    <t xml:space="preserve">   Ordenamento Territorial</t>
  </si>
  <si>
    <t xml:space="preserve">   Infra-estrutura urbana</t>
  </si>
  <si>
    <t xml:space="preserve">   Serviços Urbanos</t>
  </si>
  <si>
    <t xml:space="preserve"> HABITAÇÃO</t>
  </si>
  <si>
    <t xml:space="preserve">   Habitação Urbana</t>
  </si>
  <si>
    <t xml:space="preserve"> SANEAMENTO</t>
  </si>
  <si>
    <t xml:space="preserve">   Saneamento Básico Urbano</t>
  </si>
  <si>
    <t xml:space="preserve"> GESTÃO AMBIENTAL</t>
  </si>
  <si>
    <t xml:space="preserve">   Controle Ambiental</t>
  </si>
  <si>
    <t xml:space="preserve">   Preservação e Conserv. Ambiental</t>
  </si>
  <si>
    <t xml:space="preserve"> AGRICULTURA</t>
  </si>
  <si>
    <t xml:space="preserve">   Promoção da Produção Vegetal</t>
  </si>
  <si>
    <t xml:space="preserve">   Abastecimento</t>
  </si>
  <si>
    <t xml:space="preserve"> COMÉRCIO E SERVIÇOS</t>
  </si>
  <si>
    <t xml:space="preserve">   Turismo</t>
  </si>
  <si>
    <t xml:space="preserve"> TRANSPORTE</t>
  </si>
  <si>
    <t xml:space="preserve">   Transporte Rodoviário</t>
  </si>
  <si>
    <t xml:space="preserve"> DESPORTOS E LAZER</t>
  </si>
  <si>
    <t xml:space="preserve">   Lazer</t>
  </si>
  <si>
    <t xml:space="preserve"> ENCARGOS ESPECIAIS</t>
  </si>
  <si>
    <t xml:space="preserve">   Serviço da Dívida Interna</t>
  </si>
  <si>
    <t xml:space="preserve">   Outros Encargos Especiais</t>
  </si>
  <si>
    <t xml:space="preserve"> RESERVA DE CONTINGÊNCIA</t>
  </si>
  <si>
    <t xml:space="preserve">   Reserva de Contingência</t>
  </si>
  <si>
    <t>DESPESA INTRA-ORÇ. (II)</t>
  </si>
  <si>
    <t xml:space="preserve">  TOTAL III = (I + II)</t>
  </si>
  <si>
    <t>PREFEITURA MUNICIPAL DE SÃO LUÍS (MA)</t>
  </si>
  <si>
    <t>DEMONSTRATIVO DA RECEITA CORRENTE LÍQUIDA</t>
  </si>
  <si>
    <t>ESPECIFICAÇÃO</t>
  </si>
  <si>
    <t>mai-09</t>
  </si>
  <si>
    <t>jun-09</t>
  </si>
  <si>
    <t>RECEITAS CORRENTES (I)</t>
  </si>
  <si>
    <t>Receita Tributária</t>
  </si>
  <si>
    <t>IPTU</t>
  </si>
  <si>
    <t>ISS</t>
  </si>
  <si>
    <t>ITBI</t>
  </si>
  <si>
    <t>IRPF</t>
  </si>
  <si>
    <t>Outras Receitas Tributárias</t>
  </si>
  <si>
    <t>Receita de Contribuições</t>
  </si>
  <si>
    <t>Receita Patrimonial</t>
  </si>
  <si>
    <t>Transferências Correntes</t>
  </si>
  <si>
    <t>Cota-Parte do FPM</t>
  </si>
  <si>
    <t>Cota-Parte do ICMS</t>
  </si>
  <si>
    <t>Cota-Parte do IPVA</t>
  </si>
  <si>
    <t>Cota-Parte do ITR</t>
  </si>
  <si>
    <t>Transferências LC 87/96</t>
  </si>
  <si>
    <t>Transferências LC 61/89</t>
  </si>
  <si>
    <t>Tranferências do FUNDEB</t>
  </si>
  <si>
    <t>Outras Transferências Correntes</t>
  </si>
  <si>
    <t>Outras Receitas Correntes</t>
  </si>
  <si>
    <t>DEDUÇÕES (II)</t>
  </si>
  <si>
    <t>Contrib. Plano Seg. Social Servidor</t>
  </si>
  <si>
    <t>Compensação Financ. entre Regimes Previd.</t>
  </si>
  <si>
    <t>Dedução de Receita para Formação do FUNDEB</t>
  </si>
  <si>
    <t>RECEITA CORRENTE LÍQUIDA (I - II)</t>
  </si>
  <si>
    <t>DEMONSTRATIVO DAS RECEITAS E DESPESAS PREVIDENCIÁRIAS  REGIME PRÓPRIO DOS SERVIDORES PÚBLICOS</t>
  </si>
  <si>
    <t>ORÇAMENTO DA SEGURIDADE SOCIAL</t>
  </si>
  <si>
    <t>RECEITAS PREVIDENCIÁRIAS</t>
  </si>
  <si>
    <t xml:space="preserve">PREVISÃO INICIAL     </t>
  </si>
  <si>
    <t>PREVISÃO      ATUALIZADA</t>
  </si>
  <si>
    <t>RECEITAS REALIZADAS</t>
  </si>
  <si>
    <t>RECEITAS PREVID. (EXC. INTRA-ORÇAMENTÁRIAS) - I</t>
  </si>
  <si>
    <t>Pessoal Civil</t>
  </si>
  <si>
    <t>Contribuição do Servidor Ativo Civil</t>
  </si>
  <si>
    <t>Contribuição do Servidor Inativo Civil</t>
  </si>
  <si>
    <t>Contribuição de Pensionista Civil</t>
  </si>
  <si>
    <t>Pessoal Militar</t>
  </si>
  <si>
    <t>Contribuição do Militar Ativo</t>
  </si>
  <si>
    <t>Contribuição do Militar Inativo</t>
  </si>
  <si>
    <t>Contribuição de Pensionista Militar</t>
  </si>
  <si>
    <t>Outras Receitas de Contribuição</t>
  </si>
  <si>
    <t>Compensação Previdenciária entre RGPS e RPPS</t>
  </si>
  <si>
    <t xml:space="preserve">    Outras Receitas Correntes   </t>
  </si>
  <si>
    <t>Alienação de Bens, Direitos e Ativos</t>
  </si>
  <si>
    <t>Amortização de Empréstimos</t>
  </si>
  <si>
    <t>Outras Receitas de Capital</t>
  </si>
  <si>
    <t>(-) DEDUÇÕES DA RECEITA</t>
  </si>
  <si>
    <t>RECEITAS PREVIDENCIÁRIAS - RPPS</t>
  </si>
  <si>
    <t>RECEITAS PREVID.  - INTRA-ORÇAMENTÁRIAS) - II</t>
  </si>
  <si>
    <t>TOTAL REC. PREVIDENCIÁRIAS (III) = I + II</t>
  </si>
  <si>
    <t>DESPESAS PREVIDENCIÁRIAS</t>
  </si>
  <si>
    <t xml:space="preserve">DOTAÇÃO INICIAL     </t>
  </si>
  <si>
    <t>DOTAÇÃO         ATUALIZADA</t>
  </si>
  <si>
    <t>DESPESAS EXECUTADAS</t>
  </si>
  <si>
    <t>INSCRITAS EM RPNP</t>
  </si>
  <si>
    <t>DESP. PREVID. (EXC. INTRA-ORÇAMENTÁRIAS) - IV</t>
  </si>
  <si>
    <t>ADMINISTRAÇÃO GERAL</t>
  </si>
  <si>
    <t>Despesas Correntes</t>
  </si>
  <si>
    <t>Despesas de Capital</t>
  </si>
  <si>
    <t>PREVIDÊNCIA SOCIAL</t>
  </si>
  <si>
    <t>Aposentadorias</t>
  </si>
  <si>
    <t>Pensões</t>
  </si>
  <si>
    <t>Outros Benefícios Previdenciários</t>
  </si>
  <si>
    <t>Reformas</t>
  </si>
  <si>
    <t>Outras Despesas Correntes</t>
  </si>
  <si>
    <t>Comp. Prev. de Aposentadorias entre RPPS e o RGPS</t>
  </si>
  <si>
    <t xml:space="preserve">     Demais Despesas Previdenciárias</t>
  </si>
  <si>
    <t>DESPESAS  PREVID.  - INTRA-ORÇAMENTÁRIAS) - V</t>
  </si>
  <si>
    <t>TOTAL DESP. PREVIDENCIÁRIAS (VI) = IV + V</t>
  </si>
  <si>
    <t>RESULTADO PREVIDENCIÁRIO VII = III - VI</t>
  </si>
  <si>
    <t>DEMONSTRATIVO DAS RECEITAS E DESPESAS PREVIDENCIÁRIAS DO REGIME PRÓPRIO DOS SERVIDORES PÚBLICOS</t>
  </si>
  <si>
    <t>APORTES DE RECURSOS PARA O REGIME PRÓPRIO
DE PREVIDÊNCIA DO SERVIDOR</t>
  </si>
  <si>
    <t>DOTAÇÃO</t>
  </si>
  <si>
    <t>DESPESAS LIQUIDADAS</t>
  </si>
  <si>
    <t>INICIAL</t>
  </si>
  <si>
    <t>ATUALIZADA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</si>
  <si>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</si>
  <si>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</si>
  <si>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</si>
  <si>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</si>
  <si>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</si>
  <si>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</si>
  <si>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</si>
  <si>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</si>
  <si>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</si>
  <si>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</si>
  <si>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</si>
  <si>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</si>
  <si>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</si>
  <si>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</si>
  <si>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</si>
  <si>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</si>
  <si>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OUTROS BENS E DIREITOS</t>
  </si>
  <si>
    <t>REC.PREVIDENCIÁRIAS INTRA-ORÇAMENTÁRIAS</t>
  </si>
  <si>
    <t>RECEITAS CORRENTES (VIII)</t>
  </si>
  <si>
    <t>Contribuição Patronal do Servidor Ativo Civil</t>
  </si>
  <si>
    <t>Contribuição Patronal do Servidor Inativo Civil</t>
  </si>
  <si>
    <t>Contribuição Patronal de Pensionista Civil</t>
  </si>
  <si>
    <t>Contribuição Patronal de Militar Ativo</t>
  </si>
  <si>
    <t>Contribuição Patronal de Militar Inativo</t>
  </si>
  <si>
    <t>Contribuição Patronal de Pensionista Militar</t>
  </si>
  <si>
    <t>Contrib. Previdenciárias para cobertura de Déficit Atuarial</t>
  </si>
  <si>
    <t>Contrib. Previdenciária em regime de débitos e parcelamentos</t>
  </si>
  <si>
    <t>RECEITAS DE CAPITAL (IX)</t>
  </si>
  <si>
    <t>Alienação de Bens</t>
  </si>
  <si>
    <t>(-) DEDUÇÕES DA RECEITA (X)</t>
  </si>
  <si>
    <t>TOTAL REC. PREVID. INTRA-ORÇ. (XI) = VIII+IX - X)</t>
  </si>
  <si>
    <t>DESP. PREVIDENCIÁRIAS INTRA-ORÇAMENTÁRIAS</t>
  </si>
  <si>
    <t>ADMINISTRAÇÃO GERAL (XII)</t>
  </si>
  <si>
    <t xml:space="preserve">        Pessoal Civil</t>
  </si>
  <si>
    <t xml:space="preserve">            Aposentadorias </t>
  </si>
  <si>
    <t xml:space="preserve">            Pensões </t>
  </si>
  <si>
    <t xml:space="preserve">            Outros Benefícios Previdenciários </t>
  </si>
  <si>
    <t>TOTAL DESP. PREVID. INTRA-ORÇAMENTÁRIAS</t>
  </si>
  <si>
    <t>DEMONSTRATIVO DO RESULTADO NOMINAL</t>
  </si>
  <si>
    <t>SALDO</t>
  </si>
  <si>
    <t>(c)</t>
  </si>
  <si>
    <t>DÍVIDA CONSOLIDADA (I)</t>
  </si>
  <si>
    <t>Haveres Financeiros</t>
  </si>
  <si>
    <t>DÍVIDA CONSOLIDADA LÍQUIDA (III) = (I - II)</t>
  </si>
  <si>
    <t>RECEITA DE PRIVATIZAÇÕES (IV)</t>
  </si>
  <si>
    <t>PASSIVOS RECONHECIDOS (V)</t>
  </si>
  <si>
    <t>DÍVIDA FISCAL LÍQUIDA VI = III + VI - V</t>
  </si>
  <si>
    <t>(c - b)</t>
  </si>
  <si>
    <t>(c - a)</t>
  </si>
  <si>
    <t>RESULTADO NOMINAL</t>
  </si>
  <si>
    <t>DISCRIMINAÇÃO DA META FISCAL</t>
  </si>
  <si>
    <t>META DE RES. NOMINAL FIXADA NO ANEXO DE MET. FISCAIS DA LDO P/ O EXERC. DE REF.</t>
  </si>
  <si>
    <t>REGIME PREVIDENCIÁRIO</t>
  </si>
  <si>
    <t xml:space="preserve">    Investimentos</t>
  </si>
  <si>
    <t xml:space="preserve">    (-) Restos a Pagar Processados</t>
  </si>
  <si>
    <t>PREFEITURA MUNICIPAL DE SÃO LUÍS</t>
  </si>
  <si>
    <t>DEMONSTRATIVO DO RESULTADO PRIMÁRIO</t>
  </si>
  <si>
    <t>RECEITAS FISCAIS</t>
  </si>
  <si>
    <t>PREVISÃO ATUALIZADA</t>
  </si>
  <si>
    <t>RECEITAS PRIMÁRIAS CORRENTES (I)</t>
  </si>
  <si>
    <t xml:space="preserve">   IPTU</t>
  </si>
  <si>
    <t xml:space="preserve">   ISS</t>
  </si>
  <si>
    <t xml:space="preserve">   ITBI</t>
  </si>
  <si>
    <t xml:space="preserve">   IRPF</t>
  </si>
  <si>
    <t xml:space="preserve">   Outras Receitas Tributárias</t>
  </si>
  <si>
    <t xml:space="preserve">  Receita Previdenciária</t>
  </si>
  <si>
    <t xml:space="preserve">  Outras Contribuições</t>
  </si>
  <si>
    <t>Receita Patrimonial Líquida</t>
  </si>
  <si>
    <t xml:space="preserve">  Receita Patrimonial</t>
  </si>
  <si>
    <t xml:space="preserve"> (-) Aplicações Financeiras</t>
  </si>
  <si>
    <t xml:space="preserve">  FPM</t>
  </si>
  <si>
    <t xml:space="preserve">  ICMS</t>
  </si>
  <si>
    <t xml:space="preserve">  Transferências de Convênios</t>
  </si>
  <si>
    <t xml:space="preserve">  Outras Transferências Correntes</t>
  </si>
  <si>
    <t>Demais Receitas Correntes</t>
  </si>
  <si>
    <t xml:space="preserve">  Dívida Ativa</t>
  </si>
  <si>
    <t xml:space="preserve">  Diversas Receitas Correntes</t>
  </si>
  <si>
    <t>RECEITAS DE CAPITAL (II)</t>
  </si>
  <si>
    <t>Operações de Crédito (III)</t>
  </si>
  <si>
    <t>Amortização de Empréstimos (IV)</t>
  </si>
  <si>
    <t>Alienação de Bens  (V)</t>
  </si>
  <si>
    <t>Transferências de Capital</t>
  </si>
  <si>
    <t xml:space="preserve"> Convênios</t>
  </si>
  <si>
    <t xml:space="preserve"> Outras Transferências de Capital</t>
  </si>
  <si>
    <t>RECEITAS PRIMÁRIAS DE CAPITAL (VI) = (II - III - IV - V)</t>
  </si>
  <si>
    <t>RECEITAS PRIMÁRIAS LÍQUIDAS (VII) = (I + VI)</t>
  </si>
  <si>
    <t>DESPESAS FISCAIS</t>
  </si>
  <si>
    <t>DOTAÇÃO       ATUALIZADA</t>
  </si>
  <si>
    <t>DESPESAS CORRENTES (VIII)</t>
  </si>
  <si>
    <t>Pessoal e Encargos Sociais</t>
  </si>
  <si>
    <t>Juros e Encargos da Dívida (IX)</t>
  </si>
  <si>
    <t>DESPESAS PRIMÁRIAS CORRENTES (X) = (VIII - IX)</t>
  </si>
  <si>
    <t>DESPESAS DE CAPITAL (XI)</t>
  </si>
  <si>
    <t>Investimentos</t>
  </si>
  <si>
    <t>Inversões Financeiras</t>
  </si>
  <si>
    <t>Concessão de Empréstimos (XII)</t>
  </si>
  <si>
    <t>Aquisição de Título de Capital já Integralizado (XIII)</t>
  </si>
  <si>
    <t>Demais Inversões Financeiras</t>
  </si>
  <si>
    <t>Amortização da Dívida (XIV)</t>
  </si>
  <si>
    <t>DESPESAS PRIMÁRIAS CAPITAL (XV) = (XI - XII - XIII - XIV)</t>
  </si>
  <si>
    <t>RESERVA DE CONTINGÊNCIA (XVI)</t>
  </si>
  <si>
    <t>RESERVA DE RPPS (XVII)</t>
  </si>
  <si>
    <t>DESP. PRIMÁRIAS LÍQUIDAS (XVIII) = (X + XV + XVI+XVII)</t>
  </si>
  <si>
    <t xml:space="preserve">RESULTADO PRIMÁRIO (VII - XVIII) </t>
  </si>
  <si>
    <t>SALDOS DE EXERCÍCIOS ANTERIORES</t>
  </si>
  <si>
    <t>–</t>
  </si>
  <si>
    <t>META DE RES. PRIMÁRIO FIXADA NO ANEXO DE METAS FISCAIS DA LDO P/ O EXERC. DE REF.</t>
  </si>
  <si>
    <t xml:space="preserve">                                   &lt;ESFERA DE GOVERNO&gt;</t>
  </si>
  <si>
    <t>Continuação (2/2)</t>
  </si>
  <si>
    <t>DEMONSTRATIVO DA PROJEÇÃO ATUARIAL DO REGIME GERAL DE PREVIDÊNCIA SOCIAL</t>
  </si>
  <si>
    <t>&lt;PERÍODO DE REFERÊNCIA&gt;</t>
  </si>
  <si>
    <t>TABELA DE HIPÓTESES</t>
  </si>
  <si>
    <t>EXERCÍCIO</t>
  </si>
  <si>
    <t>MASSA SALARIAL</t>
  </si>
  <si>
    <t>CRESCIMENTO VEGETATIVO</t>
  </si>
  <si>
    <t>TAXA DE INFLAÇÃO ANUAL (IGP-DI Média)</t>
  </si>
  <si>
    <t>VARIAÇÃO REAL DO PIB</t>
  </si>
  <si>
    <t>REAJUSTE DO SALÁRIO MÍNIMO</t>
  </si>
  <si>
    <t>REAJUSTE DOS DEMAIS BENEFÍCIOS</t>
  </si>
  <si>
    <t>FONTES:</t>
  </si>
  <si>
    <t>DEMONSTRATIVO DOS RESTOS A PAGAR POR PODER E ÓRGÃO</t>
  </si>
  <si>
    <t>PODER / ÓRGÃO</t>
  </si>
  <si>
    <t>Inscritos</t>
  </si>
  <si>
    <t>Cancelados</t>
  </si>
  <si>
    <t>Pagos</t>
  </si>
  <si>
    <t>A Pagar</t>
  </si>
  <si>
    <t>Exercícios Anteriores</t>
  </si>
  <si>
    <t>RESTOS A PAGAR (EXCETO INTRA-ORÇAMENTÁRIAS) - I</t>
  </si>
  <si>
    <t xml:space="preserve">         Câmara Municipal</t>
  </si>
  <si>
    <t xml:space="preserve">    EXECUTIVO</t>
  </si>
  <si>
    <t xml:space="preserve">          Secretaria Municipal de Governo</t>
  </si>
  <si>
    <t xml:space="preserve">          Gabinete do Vice-prefeito</t>
  </si>
  <si>
    <t xml:space="preserve">          Procuradoria Geral do Município</t>
  </si>
  <si>
    <t xml:space="preserve">          Controladoria Geral do Município</t>
  </si>
  <si>
    <t xml:space="preserve">          Comissão Permanente de Licitação</t>
  </si>
  <si>
    <t xml:space="preserve">          Guarda Municpal de São Luís</t>
  </si>
  <si>
    <t xml:space="preserve">          Secretaria Municipal de Segurança com Cidadania</t>
  </si>
  <si>
    <t xml:space="preserve">          Recursos sob a Superv. da  SEMFAZ</t>
  </si>
  <si>
    <t xml:space="preserve">          Recursos sob a Superv. da  SEMAD</t>
  </si>
  <si>
    <t xml:space="preserve">          Instituto Municipal de Paisagem Urbana</t>
  </si>
  <si>
    <t xml:space="preserve">          Instituto de Previdência e Assistência</t>
  </si>
  <si>
    <t xml:space="preserve">          Fundo Municipal da Assistência Social</t>
  </si>
  <si>
    <t xml:space="preserve">          FUNDEB</t>
  </si>
  <si>
    <t>TOTAL</t>
  </si>
  <si>
    <t>DEMONSTRATIVO DAS RECEITAS E DESPESAS COM MANUTENÇÃO E DESENVOLVIMENTO DO ENSINO - MDE</t>
  </si>
  <si>
    <t>RECEITA BRUTA DE IMPOSTOS</t>
  </si>
  <si>
    <t>PREVISÃO INICIAL</t>
  </si>
  <si>
    <t>Até o bimestre</t>
  </si>
  <si>
    <t>1.1 Receita Resultante do IPTU</t>
  </si>
  <si>
    <t xml:space="preserve">     Multa, juros de mora e outros encargos do IPTU</t>
  </si>
  <si>
    <t xml:space="preserve">     Dívida Ativa do IPTU </t>
  </si>
  <si>
    <t xml:space="preserve">     Multa, juros de mora, atualização monetária e outros encargos da dívida ativa do IPTU</t>
  </si>
  <si>
    <t>1.2 Receita Resultante do ITBI</t>
  </si>
  <si>
    <t xml:space="preserve">      ITBI</t>
  </si>
  <si>
    <t xml:space="preserve">     Multa, juros de mora e outros encargos do ITBI</t>
  </si>
  <si>
    <t xml:space="preserve">     Dívida Ativa do ITBI </t>
  </si>
  <si>
    <t xml:space="preserve">     Multa, juros de mora, atualização monetária e outros encargos da dívida ativa do ITBI</t>
  </si>
  <si>
    <t>1.3 Receita Resultante do ISS</t>
  </si>
  <si>
    <t xml:space="preserve">      ISS</t>
  </si>
  <si>
    <t xml:space="preserve">     Multa, juros de mora e outros encargos do ISS</t>
  </si>
  <si>
    <t xml:space="preserve">     Dívida Ativa do ISS </t>
  </si>
  <si>
    <t xml:space="preserve">     Multa, juros de mora, atualização monetária e outros encargos da dívida ativa do ISS</t>
  </si>
  <si>
    <t xml:space="preserve">      IRPF</t>
  </si>
  <si>
    <t xml:space="preserve">     Multa, juros de mora e outros encargos do IRPF</t>
  </si>
  <si>
    <t xml:space="preserve">     Dívida Ativa do IRPF </t>
  </si>
  <si>
    <t xml:space="preserve">     Multa, juros de mora, atualização monetária e outros encargos da dívida ativa do IRPF</t>
  </si>
  <si>
    <t xml:space="preserve">2.1 Cota-Parte FPM </t>
  </si>
  <si>
    <t xml:space="preserve">2.2 Cota-Parte ICMS </t>
  </si>
  <si>
    <t xml:space="preserve">2.3 ICMS-Desoneração - L.C. nº 87/96 </t>
  </si>
  <si>
    <t xml:space="preserve">2.4 Cota-Parte IPI-Exportação </t>
  </si>
  <si>
    <t xml:space="preserve">2.5 Cota-Parte ITR </t>
  </si>
  <si>
    <t xml:space="preserve">2.6 Cota-Parte IPVA </t>
  </si>
  <si>
    <t xml:space="preserve">2.7 Cota-Parte IOF-Ouro </t>
  </si>
  <si>
    <t>3. TOTAL DA RECEITA DE IMPOSTOS (1+2)</t>
  </si>
  <si>
    <t>D</t>
  </si>
  <si>
    <t>E</t>
  </si>
  <si>
    <t>RECEITAS ADICIONAIS PARA FINANCIAMENTO DO ENSINO</t>
  </si>
  <si>
    <t>G</t>
  </si>
  <si>
    <t>C</t>
  </si>
  <si>
    <t>F</t>
  </si>
  <si>
    <t>5. Transferências do FNDE</t>
  </si>
  <si>
    <t>H</t>
  </si>
  <si>
    <t>I</t>
  </si>
  <si>
    <t>6. Transferências de Convênios destinados a Programas de Educação</t>
  </si>
  <si>
    <t>7. Receita de Operações de Crédito destinada à Educação</t>
  </si>
  <si>
    <t>8. Outras Receitas Vinculadas à Educação</t>
  </si>
  <si>
    <t>RECEITAS DO FUNDEB</t>
  </si>
  <si>
    <t>No ano</t>
  </si>
  <si>
    <t>10. Receitas de Transferências Constitucionais e Legais</t>
  </si>
  <si>
    <t>10.1 Cota-Parte FPM destinada ao FUNDEB - 20% de 2.1</t>
  </si>
  <si>
    <t>10.2 Cota-Parte ICMS destinada ao FUNDEB - 20% de 2.2</t>
  </si>
  <si>
    <t>10.3 ICMS-Desoneração - L.C. nº 87/96 - destinada ao FUNDEB - 20% de 2.3</t>
  </si>
  <si>
    <t>10.4 Cota-Parte IPI-Exportação (85%)  - destinada ao FUNDEB - 20% de 2.4</t>
  </si>
  <si>
    <t>10.5 Cota-Parte ITR (100%)  - destinada ao FUNDEB - 20% de 2.5</t>
  </si>
  <si>
    <t>10.6 Cota-Parte IPVA (100%)   - destinada ao FUNDEB - 20% de 2.6</t>
  </si>
  <si>
    <t>11. Receitas recebidas do FUNDEB</t>
  </si>
  <si>
    <t>11.1 Transferências de Recursos do FUNDEB</t>
  </si>
  <si>
    <t>11.2 Complementação da União ao  FUNDEB</t>
  </si>
  <si>
    <t>11.3 Receita de Aplicação Financeira dos Recursos do FUNDEB</t>
  </si>
  <si>
    <t xml:space="preserve">    12. RESULTADO LÍQUIDO DAS TRANSFERENCIAS DO FUNDEB (11.1 - 10)</t>
  </si>
  <si>
    <t>[se RESULTADO LÍQUIDO DA TRANSFERÊNCIAS (11 &gt; 0) = ACRÉSCIMO RESULTANTE DAS TRANSF. DO FUNDEB</t>
  </si>
  <si>
    <t>DESPESAS DO FUNDEB</t>
  </si>
  <si>
    <t>DOTAÇÃO INICIAL</t>
  </si>
  <si>
    <t>DOTAÇÃO ATUALIZADA</t>
  </si>
  <si>
    <t>(d)</t>
  </si>
  <si>
    <t>(d/c)</t>
  </si>
  <si>
    <t xml:space="preserve"> 13. PAGAMENTO DOS PROFISSIONAIS DO MAGISTÉRIO </t>
  </si>
  <si>
    <t>13.1 Educação Infantil</t>
  </si>
  <si>
    <t>13.2 Educação Fundamental</t>
  </si>
  <si>
    <t xml:space="preserve"> 14. OUTRAS DESPESAS </t>
  </si>
  <si>
    <t>14.1 Educação Infantil</t>
  </si>
  <si>
    <t>14.2 Educação Fundamental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</si>
  <si>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</si>
  <si>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</si>
  <si>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</si>
  <si>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</si>
  <si>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</si>
  <si>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</si>
  <si>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</si>
  <si>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t>CÁLCULO DO LIMITE MÍNIMO COM MANUTENÇÃO E DESENVOLVIMENTO DO ENSINO</t>
  </si>
  <si>
    <t>PREVISÃO</t>
  </si>
  <si>
    <t>RECEITAS COM AÇÕES TÍPICAS DE MANUTENÇÃO E DESENVOLVIMENTO DO ENSINO</t>
  </si>
  <si>
    <t>(c) = (b/a)x100</t>
  </si>
  <si>
    <t>DESPESAS COM AÇÕES TÍPICAS DE MANUTENÇÃO E DESENVOLVIMENTO DO ENSINO</t>
  </si>
  <si>
    <t>(e)</t>
  </si>
  <si>
    <t>(f) = (e/d)x100</t>
  </si>
  <si>
    <t>23- EDUCAÇÃO INFANTIL</t>
  </si>
  <si>
    <t xml:space="preserve">    23.1- Despesas Custeadas com Recursos do FUNDEB </t>
  </si>
  <si>
    <t xml:space="preserve">    23.2- Despesas Custeadas com Outros Recursos de Impostos</t>
  </si>
  <si>
    <t xml:space="preserve">24- ENSINO FUNDAMENTAL </t>
  </si>
  <si>
    <t xml:space="preserve">    24.1- Despesas Custeadas com Recursos do FUNDEB </t>
  </si>
  <si>
    <t xml:space="preserve">    24.2- Despesas Custeadas com Outros Recursos de Impostos</t>
  </si>
  <si>
    <t xml:space="preserve">25- ENSINO MÉDIO </t>
  </si>
  <si>
    <t>26- ENSINO SUPERIOR</t>
  </si>
  <si>
    <t>27- ENSINO PROFISSIONAL NÃO INTEGRADO AO ENSINO REGULAR</t>
  </si>
  <si>
    <t>28- OUTRAS</t>
  </si>
  <si>
    <t>29- TOTAL DAS DESPESAS PARA FINS DE LIMITE (soma de 23 a 28)</t>
  </si>
  <si>
    <t>DEDUÇÕES / ADIÇÕES CONSIDERADAS PARA FINS DE LIMITE CONSTITUCIONAL</t>
  </si>
  <si>
    <t>30- RESULTADO LÍQUIDO DAS TRANSFERÊNCIAS DO FUNDEB = (12)</t>
  </si>
  <si>
    <t>32- RECEITA DE APLICAÇÃO FINANCEIRA DOS RECURSOS DO FUNDEB ATÉ O BIMESTRE = (50h)</t>
  </si>
  <si>
    <t>33- DESPESAS CUSTEADAS COM O SUPERÁVIT FINANCEIRO DO EXERCÍCIO ANTERIOR, DO FUNDEB</t>
  </si>
  <si>
    <t>34- DESPESAS CUSTEADAS COM O SUPERÁVIT FINANCEIRO DO EXERCÍCIO ANTERIOR, DE OUTROS RECURSOS DE IMPOSTOS</t>
  </si>
  <si>
    <t xml:space="preserve">36- CANCELAMENTOS, NO EXERCÍCIO, DE RESTOS A PAGAR INSCRITOS COM DISPONBIILIDADE FINANCEIRO DE REC. DE IMPOSTOS VINCULADOS AO ENSINO </t>
  </si>
  <si>
    <t xml:space="preserve">38- TOTAL DAS DESPESAS PARA FINS DE LIMITE ((23+24)-(37)) </t>
  </si>
  <si>
    <r>
      <t>39- MÍNIMO DE 25% DAS RECEITAS RESULTANTES DE IMPOSTOS NA MANUTENÇÃO E DESENVOLVIMENTO DO ENSINO</t>
    </r>
    <r>
      <rPr>
        <b/>
        <vertAlign val="superscript"/>
        <sz val="8"/>
        <rFont val="Times New Roman"/>
        <family val="1"/>
      </rPr>
      <t xml:space="preserve">1 </t>
    </r>
    <r>
      <rPr>
        <b/>
        <sz val="8"/>
        <rFont val="Times New Roman"/>
        <family val="1"/>
      </rPr>
      <t>[(38)/3*100)]</t>
    </r>
  </si>
  <si>
    <t>OUTRAS INFORMAÇÕES PARA CONTROLE</t>
  </si>
  <si>
    <t>OUTRAS DESPESAS CUSTEADAS COM RECEITAS ADICIONAIS PARA FINANCIAMENTO DO ENSINO</t>
  </si>
  <si>
    <t>44- TOTAL DAS OUTRAS DESPESAS CUSTEADAS COM RECEITAS DESTINADAS AO ENSINO</t>
  </si>
  <si>
    <t xml:space="preserve">       (SOMA DE 40 A 43)</t>
  </si>
  <si>
    <t xml:space="preserve"> </t>
  </si>
  <si>
    <t>45- TOTAL GERAL DAS DESPESAS COM MDE  (29 +44)</t>
  </si>
  <si>
    <t>OUTRAS INFORMAÇÕES PARA CONTROLE FINANCEIRO</t>
  </si>
  <si>
    <t>RESTOS A PAGAR INSCRITOS COM DISPONIBILIDADE FINANCEIRA
DE RECURSOS DE IMPOSTOS VINCULADOS AO ENSINO</t>
  </si>
  <si>
    <t>SALDO ATÉ O BIMESTRE</t>
  </si>
  <si>
    <t>FLUXO FINANCEIRO DOS RECURSOS DO FUNDEB</t>
  </si>
  <si>
    <t>PREFEITURA DE SÃO LUÍS (MA)</t>
  </si>
  <si>
    <t>DEMONSTRATIVO SIMPLIFICADO DO RELATÓRIO RESUMIDO DA EXECUÇÃO ORÇAMENTÁRIA</t>
  </si>
  <si>
    <t xml:space="preserve">BALANÇO ORÇAMENTÁRIO </t>
  </si>
  <si>
    <t>No bimestre</t>
  </si>
  <si>
    <t>Despesas Empenhadas</t>
  </si>
  <si>
    <t>DESPESAS POR FUNÇÃO / SUBFUNÇÃO</t>
  </si>
  <si>
    <t>RECEITA CORRENTE LÍQUIDA - RCL</t>
  </si>
  <si>
    <t xml:space="preserve"> Até o bimestre</t>
  </si>
  <si>
    <t>Receita Corrente Líquida</t>
  </si>
  <si>
    <t>RECEITAS / DESPESAS DOS REGIMES DE PREVIDÊNCIA</t>
  </si>
  <si>
    <t>Regime Geral de Previdência Social</t>
  </si>
  <si>
    <t>Regime Próprio de Previdência Social dos Servidores Públicos</t>
  </si>
  <si>
    <t>RESULTADOS NOMINAL E PRIMÁRIO</t>
  </si>
  <si>
    <t>Meta</t>
  </si>
  <si>
    <t>Resultado Apurado até o bimestre</t>
  </si>
  <si>
    <t xml:space="preserve"> % em Relação à Meta</t>
  </si>
  <si>
    <t>Resultado Nominal</t>
  </si>
  <si>
    <t>Resultado Primário</t>
  </si>
  <si>
    <t>MOVIMENTAÇÃO DOS RESTOS A PAGAR</t>
  </si>
  <si>
    <t>Inscrição</t>
  </si>
  <si>
    <t xml:space="preserve">Saldo </t>
  </si>
  <si>
    <t>POR PODER</t>
  </si>
  <si>
    <t>RESTOS A PAGAR PROCESSADOS</t>
  </si>
  <si>
    <t>Poder Executivo</t>
  </si>
  <si>
    <t>Poder Legislativo</t>
  </si>
  <si>
    <t>RESTOS A PAGAR NÃO-PROCESSADOS</t>
  </si>
  <si>
    <t>DESPESAS COM MANUTENÇÃO E DESENV. DO ENSINO - MDE</t>
  </si>
  <si>
    <t>Valor apurado</t>
  </si>
  <si>
    <t>Limites Constitucionais Anuais</t>
  </si>
  <si>
    <t>até  o bimestre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</si>
  <si>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</si>
  <si>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</si>
  <si>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</si>
  <si>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</si>
  <si>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</si>
  <si>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</si>
  <si>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</si>
  <si>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</si>
  <si>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</si>
  <si>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</si>
  <si>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</si>
  <si>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</si>
  <si>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</si>
  <si>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</si>
  <si>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</si>
  <si>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Receita de Capital Resultante da Alienação de Ativos</t>
  </si>
  <si>
    <t>Aplicação dos Recursos da Alienação de Ativos</t>
  </si>
  <si>
    <t>DESPESAS DE CARÁTER CONTINUADO DERIVADAS DE  PPP´S CONTRATADAS</t>
  </si>
  <si>
    <t>VALOR APURADO NO EXERCÍCIO CORRENTE</t>
  </si>
  <si>
    <t xml:space="preserve">Total das Despesas / RCL (%) </t>
  </si>
  <si>
    <t>Disponibilidade de Caixa Bruta</t>
  </si>
  <si>
    <t>(-) Restos a Pagar Processados</t>
  </si>
  <si>
    <t>mar</t>
  </si>
  <si>
    <t>abr</t>
  </si>
  <si>
    <t>previd</t>
  </si>
  <si>
    <t>FUNDEB</t>
  </si>
  <si>
    <t>MDE</t>
  </si>
  <si>
    <t>46- RESTOS A PAGAR DE DESPESAS COM MANUTENÇÃO E DESENVOLVIMENTO DO ENSINO</t>
  </si>
  <si>
    <t xml:space="preserve">   Suporte Profilático e Terapêutico</t>
  </si>
  <si>
    <t>DESPESAS PRÓPRIAS COM AÇÕES E SERVIÇOS PÚBLICOS DE SAÚDE</t>
  </si>
  <si>
    <t xml:space="preserve">    4. Receita de Aplic. Financeira de outros recursos de impostos vinculados ao ensino </t>
  </si>
  <si>
    <t xml:space="preserve">    9. TOTAL DAS REC. ADICIONAIS PARA FINANCIAMENTO DO ENSINO (4+5+6+7+8)</t>
  </si>
  <si>
    <t xml:space="preserve">     IPTU</t>
  </si>
  <si>
    <t>mde</t>
  </si>
  <si>
    <t>limite</t>
  </si>
  <si>
    <t>despesa tot</t>
  </si>
  <si>
    <t>jan-fev</t>
  </si>
  <si>
    <t>mar-abr</t>
  </si>
  <si>
    <t>mai-juh</t>
  </si>
  <si>
    <t>resemad</t>
  </si>
  <si>
    <t>RREO</t>
  </si>
  <si>
    <t>SEMED</t>
  </si>
  <si>
    <t>31- DESPESAS CUSTEADAS COM A COMPLEMENTAÇÃO DO FUNDEB NO EXERCÍCIO</t>
  </si>
  <si>
    <t>37- TOTAL DAS DEDUÇÕES / ADIÇÕES CONSIDERADAS PARA FINS DE LIMITE CONSTITUCIONAL (SOMA DE 30 A 36)</t>
  </si>
  <si>
    <t>43- DESPESAS CUST. COM OUTRAS REC. PARA FINANCIAMENTO DO ENSINO (106+112+116)</t>
  </si>
  <si>
    <t>42 - DESPESAS CUSTEADAS COM RECURSOS DE OPERAÇÕES DE CRÉDITO - (Fonte 114)</t>
  </si>
  <si>
    <t>41- DESPESAS CUSTEADAS CONT. SOCIAL DO SALÁRIO-EDUCAÇÃO - (Fonte 111)</t>
  </si>
  <si>
    <t>40- DESP.CUSTEADAS COM APLIC. FIN. DE OUTROS REC. DE IMPOSTOS VINC ENSINO</t>
  </si>
  <si>
    <t>INSCRITOS EM RESTOS A PAGAR NÃO PROCESSADOS (f)</t>
  </si>
  <si>
    <t xml:space="preserve">  Ordenamento Territorial</t>
  </si>
  <si>
    <t xml:space="preserve">   Recursos Hídricos</t>
  </si>
  <si>
    <t xml:space="preserve">   Desporto de Rendimento</t>
  </si>
  <si>
    <t xml:space="preserve">          Fundação Municipal de Patrimônio Histórico </t>
  </si>
  <si>
    <t>Em 2011</t>
  </si>
  <si>
    <t xml:space="preserve">35- RESTOS A PAGAR INSCRITOS NO EXERCÍCIO SEM DISPONBIILIDADE FINANCEIRA DE REC. DE IMPOSTOS VINCULADOS AO ENSINO </t>
  </si>
  <si>
    <t>% Mín Aplicar Exercício</t>
  </si>
  <si>
    <t xml:space="preserve">     (-) Deduções da Receita do IPTU</t>
  </si>
  <si>
    <t xml:space="preserve">     (-) Deduções da Receita do ITBI</t>
  </si>
  <si>
    <t xml:space="preserve">     (-) Deduções da Receita do ISS</t>
  </si>
  <si>
    <t xml:space="preserve">     (-) Deduções da Receita do IRRF</t>
  </si>
  <si>
    <t>1.4 Receita Resultante do IRRF</t>
  </si>
  <si>
    <t>1.5 Receita Resultante do ITR</t>
  </si>
  <si>
    <t xml:space="preserve">     ITR</t>
  </si>
  <si>
    <t xml:space="preserve">     Multa, juros de mora e outros encargos do ITR</t>
  </si>
  <si>
    <t xml:space="preserve">     Dívida Ativa do ITR </t>
  </si>
  <si>
    <t xml:space="preserve">     Multa, juros de mora, atualização monetária e outros encargos da dívida ativa do ITR</t>
  </si>
  <si>
    <t xml:space="preserve">     (-) Deduções da Receita do ITR</t>
  </si>
  <si>
    <t>1.Receitas de Impostos (I)</t>
  </si>
  <si>
    <t xml:space="preserve">RECEITA RESULTANTE DE IMPOSTOS </t>
  </si>
  <si>
    <t>2. Receitas de Transferências Constitucionais e Legais (II)</t>
  </si>
  <si>
    <t xml:space="preserve">       Parcela referente à CF - art. 159, I, alínea b</t>
  </si>
  <si>
    <t xml:space="preserve">       Parcela referente à CF - art. 159, I, alínea d</t>
  </si>
  <si>
    <t xml:space="preserve">     5.1  Transferências do Salário-Educação</t>
  </si>
  <si>
    <t xml:space="preserve">     5.2  Outras Transferências do FNDE</t>
  </si>
  <si>
    <t xml:space="preserve">     5.3  Aplicação Financeira dos Recursos do FNDE</t>
  </si>
  <si>
    <t xml:space="preserve">     6.1 Transferências de Convênios</t>
  </si>
  <si>
    <t xml:space="preserve">     6.2 Aplicação Financeira dos Recursos de Convênios</t>
  </si>
  <si>
    <t>22- IMPOSTOS E TRANSFERÊNCIAS DESTINADAS À MDE (25% de 3)3</t>
  </si>
  <si>
    <t xml:space="preserve">                            ORÇAMENTOS FISCAL E DA SEGURIDADE SOCIAL</t>
  </si>
  <si>
    <t xml:space="preserve">                             RELATÓRIO RESUMIDO DA EXECUÇÃO ORÇAMENTÁRIA</t>
  </si>
  <si>
    <t xml:space="preserve">                             PREFEITURA MUNICIPAL DE SÃO LUÍS (MA)</t>
  </si>
  <si>
    <t xml:space="preserve">                             ORÇAMENTOS FISCAL E DA SEGURIDADE SOCIAL</t>
  </si>
  <si>
    <t>Pag. 1/3</t>
  </si>
  <si>
    <t>Pag. 2/3</t>
  </si>
  <si>
    <t>Pag. 3/3</t>
  </si>
  <si>
    <t xml:space="preserve">      DEMONSTRATIVO DAS RECEITAS E DESPESAS COM MANUTENÇÃO E DESENVOLVIMENTO DO ENSINO - MDE</t>
  </si>
  <si>
    <t>Pag. 1/2</t>
  </si>
  <si>
    <t>Pag. 2/2</t>
  </si>
  <si>
    <t>AMORTIZAÇÃO DA DÍV.-REFINANCIAMENTO (XI)</t>
  </si>
  <si>
    <t xml:space="preserve">    Disponibilidade de Caixa Bruta</t>
  </si>
  <si>
    <t xml:space="preserve">    Passivo Atuarial</t>
  </si>
  <si>
    <t xml:space="preserve">    Demais Dívidas</t>
  </si>
  <si>
    <t xml:space="preserve">    Demais Haveres Financeiros</t>
  </si>
  <si>
    <t>DÍVIDA CONSOLIDADA PREVIDENCIÁRIA (VII)</t>
  </si>
  <si>
    <t>DEDUÇÕES (VIII)</t>
  </si>
  <si>
    <t>PASSIVOS RECONHECIDOS (X)</t>
  </si>
  <si>
    <t>DÍV.  CONS. LÍQUIDA PREVIDENCIÁRIA (IX) = (VII - VIII)</t>
  </si>
  <si>
    <t>DÍVIDA FISCAL LÍQUIDA PREVIDENCIÁRIA (XI) = (IX - X)</t>
  </si>
  <si>
    <t>[se RESULTADO LÍQUIDO DAS TRANSFERÊNCIAS (11 &lt; 0) = DECRÉSCIMO RESULTANTE DAS TRANSF. DO FUNDEB</t>
  </si>
  <si>
    <t xml:space="preserve">   Direitos indiv, coletivos e difusos</t>
  </si>
  <si>
    <t xml:space="preserve"> LRF - Anexo I - Art. 52, inciso I, alíneas "a" e "b" do inciso II e §1º  </t>
  </si>
  <si>
    <t xml:space="preserve">LRF - Anexo II - Art.52, inciso II, alínea "c" </t>
  </si>
  <si>
    <t xml:space="preserve"> LRF  - Anexo V - Art. 53, inciso II</t>
  </si>
  <si>
    <t xml:space="preserve"> LRF  - Anexo VI - art 53, inciso III</t>
  </si>
  <si>
    <t xml:space="preserve"> LRF  - Anexo VII - art 53, inciso III</t>
  </si>
  <si>
    <t xml:space="preserve"> LRF - Anexo IX - art. 53, inciso V </t>
  </si>
  <si>
    <t>LRF - Anexo III -  Art. 53, Inciso I</t>
  </si>
  <si>
    <t xml:space="preserve">LRF - Anexo X - LEI 9.394/96, Art. 72 </t>
  </si>
  <si>
    <t>LRF - Anexo XVII -  Art. 48</t>
  </si>
  <si>
    <t>LRF - Anexo XVII - Art. 48</t>
  </si>
  <si>
    <t>Novembro-2011</t>
  </si>
  <si>
    <t>Dezembro-2011</t>
  </si>
  <si>
    <t>Em 31 de Dezembro  2011</t>
  </si>
  <si>
    <t>Em 31 de     Dezembro  2011</t>
  </si>
  <si>
    <t>Inscritos em    RPNP      (c)</t>
  </si>
  <si>
    <t>Janeiro-2012</t>
  </si>
  <si>
    <t>Fevereiro-2012</t>
  </si>
  <si>
    <t>Em 2012</t>
  </si>
  <si>
    <t>EM 31/12/2011</t>
  </si>
  <si>
    <t xml:space="preserve">Até o Bimestre </t>
  </si>
  <si>
    <t>Em 31 Dezembro 2011</t>
  </si>
  <si>
    <t>Até o Bimestre 2011</t>
  </si>
  <si>
    <t>Receitas Tributárias</t>
  </si>
  <si>
    <t>Receitas de Contribuições</t>
  </si>
  <si>
    <t xml:space="preserve"> 15. TOTAL DAS DESPESAS DO FUNDEB (13+14)</t>
  </si>
  <si>
    <t>47- SALDO FINANCEIRO DO FUNDEB EM 31 DE DEZEMBRO DE 2011</t>
  </si>
  <si>
    <t>48- (+) INGRESSO DE  RECURSOS DO FUNDEB ATÉ O BIMESTRE</t>
  </si>
  <si>
    <t>51- (=) SALDO FINANCEIRO DO FUNDEB NO EXERCÍCIO ATUAL</t>
  </si>
  <si>
    <t>50- (+) RECEITA DE APLICAÇÃO FINANCEIRA DOS RECURSOS DO FUNDEB ATÉ O BIMESTRE</t>
  </si>
  <si>
    <t>49- (-) PAGAMENTOS EFETUADOS ATÉ O BIMESTRE</t>
  </si>
  <si>
    <t>No Bimestre Anterior</t>
  </si>
  <si>
    <t xml:space="preserve">No Bimestre </t>
  </si>
  <si>
    <t xml:space="preserve"> OPER. DE CRÉDITO / REFINANCIAMENTO (IV)</t>
  </si>
  <si>
    <t>Março-2012</t>
  </si>
  <si>
    <t>Abril-2012</t>
  </si>
  <si>
    <t>Saldo</t>
  </si>
  <si>
    <t>Liquidados</t>
  </si>
  <si>
    <t>RESTOS A PAGAR NÃO PROCESSADOS</t>
  </si>
  <si>
    <t>PREVISÃO ATUALIZADA  2012</t>
  </si>
  <si>
    <t xml:space="preserve">                    </t>
  </si>
  <si>
    <t xml:space="preserve">                        BALANÇO ORÇAMENTÁRIO - PREFEITURA MUNICIPAL DE SÃO LUÍS (MA)</t>
  </si>
  <si>
    <t xml:space="preserve">                        RELATÓRIO RESUMIDO DA EXECUÇÃO ORÇAMENTÁRIA</t>
  </si>
  <si>
    <t xml:space="preserve">                        ORÇAMENTOS FISCAL E DA SEGURIDADE SOCIAL</t>
  </si>
  <si>
    <t xml:space="preserve">LRF - Anexo I - Art. 52, inciso I, alíneas "a" e "b" do inciso II e §1º  </t>
  </si>
  <si>
    <t>Mínimo Anual de 60% do FUNDEB na Remuneração dos Prof. Ensino Infantil e Fundamental</t>
  </si>
  <si>
    <t>Complementação da União ao FUNDEB - Mín. Anual de 10% do total de recursos do FUNDEB</t>
  </si>
  <si>
    <t>Mínimo Anual de &lt;18% / 25%&gt; das Receitas de Impostos em MDE</t>
  </si>
  <si>
    <t>Mínimo Anual de 60% do FUNDEB na remuner. do magistério com ensino Fundamental e Médio</t>
  </si>
  <si>
    <t>&lt;18% / 25%&gt;</t>
  </si>
  <si>
    <t>Maio-2012</t>
  </si>
  <si>
    <t>Junho-2012</t>
  </si>
  <si>
    <t xml:space="preserve">    Previsão Inicial da Receita</t>
  </si>
  <si>
    <t xml:space="preserve">    Previsão Atualizada da Receita</t>
  </si>
  <si>
    <t xml:space="preserve">    Receitas Realizadas </t>
  </si>
  <si>
    <t xml:space="preserve">    Deficit Orçamentário</t>
  </si>
  <si>
    <t xml:space="preserve">    Saldos de Exercícios Anteriores - utilizados para créditos adicionais</t>
  </si>
  <si>
    <t xml:space="preserve">    Créditos Adicionais</t>
  </si>
  <si>
    <t xml:space="preserve">    Dotação Atualizada</t>
  </si>
  <si>
    <t xml:space="preserve">    Despesas Empenhadas</t>
  </si>
  <si>
    <t xml:space="preserve">    Superavit Orçamentário</t>
  </si>
  <si>
    <t>Despesas Executadas</t>
  </si>
  <si>
    <t xml:space="preserve">    Liquidadas</t>
  </si>
  <si>
    <t xml:space="preserve">    Inscritas em Restos a Pagar Não Processados</t>
  </si>
  <si>
    <t xml:space="preserve">    Dotação Inicial</t>
  </si>
  <si>
    <t>Receitas Previdenciárias Realizadas (I)</t>
  </si>
  <si>
    <t>Despesas Previdenciárias Executadas (II)</t>
  </si>
  <si>
    <t>Resultado Previdenciário (III) = (I - II)</t>
  </si>
  <si>
    <t xml:space="preserve">Receitas Previdenciárias Realizadas (IV) </t>
  </si>
  <si>
    <t>Resultado Previdenciário (VI) = (IV-V)</t>
  </si>
  <si>
    <t>% Aplicado até o Bimestre</t>
  </si>
  <si>
    <t xml:space="preserve">    Despesas Liquidadas </t>
  </si>
  <si>
    <t>Despesas Previdenciárias Liquidadas (V)</t>
  </si>
  <si>
    <t xml:space="preserve">    Resultado Previdenciário (III) = (I - II)</t>
  </si>
  <si>
    <t xml:space="preserve">    Resultado Previdenciário (VI) = (IV - V)</t>
  </si>
  <si>
    <t xml:space="preserve">          Secretaria Municipal de Articulação Desenv. Metropolitano</t>
  </si>
  <si>
    <t xml:space="preserve">          Secretaria Municipal de Articulação Institucional</t>
  </si>
  <si>
    <t xml:space="preserve">          Secretaria Municipal de Comunicação </t>
  </si>
  <si>
    <t xml:space="preserve">          Secretaria Municipal de Obras e Serviços Públicos</t>
  </si>
  <si>
    <t xml:space="preserve">          Secretaria Municipal da Fazenda </t>
  </si>
  <si>
    <t xml:space="preserve">          Secretaria Municipal de Trânsito e Transportes Urbanos</t>
  </si>
  <si>
    <t xml:space="preserve">          Secretaria Extraordinária Municipal de Orçam. Participativo</t>
  </si>
  <si>
    <t xml:space="preserve">          Secretaria Municipal de Administração </t>
  </si>
  <si>
    <t xml:space="preserve">          Secretaria Municipal de Urbanismo e Habitação </t>
  </si>
  <si>
    <t xml:space="preserve">          Secretaria Municipal de Turismo </t>
  </si>
  <si>
    <t xml:space="preserve">          Secretaria Municipal de Planejamento e Desenvolvimento</t>
  </si>
  <si>
    <t xml:space="preserve">          Secretaria Municipal de Informações e Tecnologia</t>
  </si>
  <si>
    <t xml:space="preserve">          Secretaria Municipal de Segurança Alimentar</t>
  </si>
  <si>
    <t xml:space="preserve">          Secretaria Municipal da Criança e Assistência Social</t>
  </si>
  <si>
    <t xml:space="preserve">          Secretaria Municipal de Meio-ambiente</t>
  </si>
  <si>
    <t xml:space="preserve">          Secretaria Municipal de Desporto e Lazer</t>
  </si>
  <si>
    <t xml:space="preserve">          Secretaria Municipal de Agricultura, Pesca e Abastecimento</t>
  </si>
  <si>
    <t xml:space="preserve">          Secretaria Extraordinária de Projetos Especiais</t>
  </si>
  <si>
    <t xml:space="preserve">          Hospital Municipal Djalma Marques </t>
  </si>
  <si>
    <t xml:space="preserve">          Instituto da Cidade </t>
  </si>
  <si>
    <t xml:space="preserve">          Fundação Municipal de Cultura </t>
  </si>
  <si>
    <t xml:space="preserve">          Fundo Municipal de Saúde </t>
  </si>
  <si>
    <t xml:space="preserve">          Fundo Especial Municipal de Transportes</t>
  </si>
  <si>
    <t xml:space="preserve">     LEGISLATIVO</t>
  </si>
  <si>
    <t xml:space="preserve">      ADMINISTRAÇÃO DIRETA</t>
  </si>
  <si>
    <t xml:space="preserve">      ADMINISTRAÇÃO INDIRETA</t>
  </si>
  <si>
    <t xml:space="preserve">        AUTARQUIAS</t>
  </si>
  <si>
    <t xml:space="preserve">        FUNDOS</t>
  </si>
  <si>
    <t>Julho-2012</t>
  </si>
  <si>
    <t>Agosto-2012</t>
  </si>
  <si>
    <t>TOTAL  (ÚLTIMOS 12 M.)</t>
  </si>
  <si>
    <t>CANCELADO EM 2012(g)</t>
  </si>
  <si>
    <t xml:space="preserve">          Fundo Municipal Direitos Criança e do Adolescente</t>
  </si>
  <si>
    <t/>
  </si>
  <si>
    <t>Setembro-2012</t>
  </si>
  <si>
    <t>Outubro-2012</t>
  </si>
  <si>
    <t>Referência: JANEIRO-OUTUBRO/2012; BIMESTRE: SETEMBRO/OUTUBRO/2012</t>
  </si>
  <si>
    <t>Em 31/10/2012</t>
  </si>
  <si>
    <t xml:space="preserve">          Manutenção e Desenvolvimento do Ensino</t>
  </si>
  <si>
    <t>21 – DESPESAS CUSTEADAS COM O SALDO DO ITEM 20 ATÉ O 5º BIMESTRE DE 2012</t>
  </si>
  <si>
    <t>Publicação: Diário Oficial do Município nº 227</t>
  </si>
  <si>
    <t>Data: 26/11/2012</t>
  </si>
  <si>
    <t xml:space="preserve">  São Luís, 26 de Novembro de 2012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</si>
</sst>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&quot;R$ &quot;#,##0.00_);[Red]&quot;(R$ &quot;#,##0.00\)"/>
    <numFmt numFmtId="167" formatCode="#,##0.00;[Red]#,##0.00"/>
    <numFmt numFmtId="168" formatCode="0.00_);[Red]\(0.00\)"/>
    <numFmt numFmtId="169" formatCode="mm/yy"/>
    <numFmt numFmtId="170" formatCode="&quot;R$ &quot;#,##0.00_);[Red]\(&quot;R$ &quot;#,##0.00\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_(* #,##0.0_);_(* \(#,##0.0\);_(* \-??_);_(@_)"/>
    <numFmt numFmtId="176" formatCode="[$-416]dddd\,\ d&quot; de &quot;mmmm&quot; de &quot;yyyy"/>
    <numFmt numFmtId="177" formatCode="#,##0.00_ ;[Red]\-#,##0.00\ "/>
    <numFmt numFmtId="178" formatCode="&quot;R$&quot;\ #,##0.00"/>
  </numFmts>
  <fonts count="10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Tahoma"/>
      <family val="2"/>
    </font>
    <font>
      <u val="single"/>
      <sz val="8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sz val="8"/>
      <color indexed="12"/>
      <name val="Arial"/>
      <family val="2"/>
    </font>
    <font>
      <b/>
      <sz val="8"/>
      <color indexed="17"/>
      <name val="Arial"/>
      <family val="2"/>
    </font>
    <font>
      <sz val="10"/>
      <color indexed="12"/>
      <name val="Arial"/>
      <family val="2"/>
    </font>
    <font>
      <sz val="8"/>
      <color indexed="17"/>
      <name val="Times New Roman"/>
      <family val="1"/>
    </font>
    <font>
      <b/>
      <sz val="8"/>
      <color indexed="17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30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rgb="FF0070C0"/>
      <name val="Arial"/>
      <family val="2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00B050"/>
      <name val="Times New Roman"/>
      <family val="1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b/>
      <sz val="8"/>
      <color rgb="FFFF0000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/>
      <top style="thin"/>
      <bottom/>
    </border>
    <border>
      <left style="thin">
        <color indexed="8"/>
      </left>
      <right/>
      <top/>
      <bottom style="thin"/>
    </border>
    <border>
      <left style="thin"/>
      <right/>
      <top/>
      <bottom/>
    </border>
    <border>
      <left/>
      <right style="thin">
        <color indexed="8"/>
      </right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 style="thin">
        <color indexed="8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3" fillId="21" borderId="1" applyNumberFormat="0" applyAlignment="0" applyProtection="0"/>
    <xf numFmtId="0" fontId="84" fillId="22" borderId="2" applyNumberFormat="0" applyAlignment="0" applyProtection="0"/>
    <xf numFmtId="0" fontId="85" fillId="0" borderId="3" applyNumberFormat="0" applyFill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6" fillId="29" borderId="1" applyNumberFormat="0" applyAlignment="0" applyProtection="0"/>
    <xf numFmtId="0" fontId="8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9" fillId="21" borderId="5" applyNumberFormat="0" applyAlignment="0" applyProtection="0"/>
    <xf numFmtId="165" fontId="0" fillId="0" borderId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2" fontId="0" fillId="0" borderId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5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</cellStyleXfs>
  <cellXfs count="177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165" fontId="2" fillId="0" borderId="0" xfId="54" applyFont="1" applyFill="1" applyBorder="1" applyAlignment="1" applyProtection="1">
      <alignment/>
      <protection/>
    </xf>
    <xf numFmtId="0" fontId="2" fillId="0" borderId="0" xfId="0" applyNumberFormat="1" applyFont="1" applyBorder="1" applyAlignment="1">
      <alignment/>
    </xf>
    <xf numFmtId="165" fontId="3" fillId="0" borderId="0" xfId="54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center"/>
    </xf>
    <xf numFmtId="165" fontId="3" fillId="0" borderId="0" xfId="54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indent="7"/>
    </xf>
    <xf numFmtId="165" fontId="3" fillId="0" borderId="0" xfId="54" applyFont="1" applyFill="1" applyBorder="1" applyAlignment="1" applyProtection="1">
      <alignment horizontal="right"/>
      <protection/>
    </xf>
    <xf numFmtId="165" fontId="3" fillId="0" borderId="0" xfId="54" applyFont="1" applyFill="1" applyBorder="1" applyAlignment="1" applyProtection="1">
      <alignment horizontal="center"/>
      <protection/>
    </xf>
    <xf numFmtId="166" fontId="3" fillId="0" borderId="0" xfId="54" applyNumberFormat="1" applyFont="1" applyFill="1" applyBorder="1" applyAlignment="1" applyProtection="1">
      <alignment horizontal="right"/>
      <protection/>
    </xf>
    <xf numFmtId="165" fontId="3" fillId="0" borderId="10" xfId="54" applyFont="1" applyFill="1" applyBorder="1" applyAlignment="1" applyProtection="1">
      <alignment horizontal="center" vertical="center" wrapText="1"/>
      <protection/>
    </xf>
    <xf numFmtId="165" fontId="3" fillId="0" borderId="11" xfId="54" applyFont="1" applyFill="1" applyBorder="1" applyAlignment="1" applyProtection="1">
      <alignment horizontal="center" vertical="center" wrapText="1"/>
      <protection/>
    </xf>
    <xf numFmtId="165" fontId="3" fillId="0" borderId="12" xfId="54" applyFont="1" applyFill="1" applyBorder="1" applyAlignment="1" applyProtection="1">
      <alignment horizontal="center" vertical="center"/>
      <protection/>
    </xf>
    <xf numFmtId="165" fontId="3" fillId="0" borderId="13" xfId="54" applyFont="1" applyFill="1" applyBorder="1" applyAlignment="1" applyProtection="1">
      <alignment horizontal="center"/>
      <protection/>
    </xf>
    <xf numFmtId="165" fontId="3" fillId="0" borderId="14" xfId="54" applyFont="1" applyFill="1" applyBorder="1" applyAlignment="1" applyProtection="1">
      <alignment horizontal="center" vertical="center" wrapText="1"/>
      <protection/>
    </xf>
    <xf numFmtId="165" fontId="3" fillId="0" borderId="15" xfId="54" applyFont="1" applyFill="1" applyBorder="1" applyAlignment="1" applyProtection="1">
      <alignment horizontal="center" vertical="center" wrapText="1"/>
      <protection/>
    </xf>
    <xf numFmtId="165" fontId="3" fillId="0" borderId="16" xfId="54" applyFont="1" applyFill="1" applyBorder="1" applyAlignment="1" applyProtection="1">
      <alignment horizontal="center" vertical="center" wrapText="1"/>
      <protection/>
    </xf>
    <xf numFmtId="165" fontId="3" fillId="0" borderId="17" xfId="54" applyFont="1" applyFill="1" applyBorder="1" applyAlignment="1" applyProtection="1">
      <alignment horizontal="center" vertical="center" wrapText="1"/>
      <protection/>
    </xf>
    <xf numFmtId="165" fontId="3" fillId="0" borderId="18" xfId="54" applyFont="1" applyFill="1" applyBorder="1" applyAlignment="1" applyProtection="1">
      <alignment horizontal="center" vertical="center" wrapText="1"/>
      <protection/>
    </xf>
    <xf numFmtId="165" fontId="4" fillId="0" borderId="19" xfId="54" applyFont="1" applyFill="1" applyBorder="1" applyAlignment="1" applyProtection="1">
      <alignment horizontal="center" vertical="center" wrapText="1"/>
      <protection/>
    </xf>
    <xf numFmtId="165" fontId="4" fillId="0" borderId="20" xfId="54" applyFont="1" applyFill="1" applyBorder="1" applyAlignment="1" applyProtection="1">
      <alignment horizontal="center" vertical="center" wrapText="1"/>
      <protection/>
    </xf>
    <xf numFmtId="165" fontId="4" fillId="0" borderId="19" xfId="54" applyFont="1" applyFill="1" applyBorder="1" applyAlignment="1" applyProtection="1">
      <alignment horizontal="left" vertical="center"/>
      <protection/>
    </xf>
    <xf numFmtId="165" fontId="4" fillId="0" borderId="20" xfId="54" applyFont="1" applyFill="1" applyBorder="1" applyAlignment="1" applyProtection="1">
      <alignment horizontal="left" vertical="center"/>
      <protection/>
    </xf>
    <xf numFmtId="49" fontId="4" fillId="0" borderId="21" xfId="0" applyNumberFormat="1" applyFont="1" applyFill="1" applyBorder="1" applyAlignment="1">
      <alignment horizontal="left" vertical="center"/>
    </xf>
    <xf numFmtId="165" fontId="4" fillId="0" borderId="15" xfId="54" applyFont="1" applyFill="1" applyBorder="1" applyAlignment="1" applyProtection="1">
      <alignment horizontal="left" vertical="center"/>
      <protection/>
    </xf>
    <xf numFmtId="165" fontId="4" fillId="0" borderId="0" xfId="54" applyFont="1" applyFill="1" applyBorder="1" applyAlignment="1" applyProtection="1">
      <alignment horizontal="left" vertical="center"/>
      <protection/>
    </xf>
    <xf numFmtId="165" fontId="4" fillId="0" borderId="16" xfId="54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165" fontId="3" fillId="0" borderId="15" xfId="54" applyFont="1" applyFill="1" applyBorder="1" applyAlignment="1" applyProtection="1">
      <alignment horizontal="left" vertical="center"/>
      <protection/>
    </xf>
    <xf numFmtId="165" fontId="3" fillId="0" borderId="0" xfId="54" applyFont="1" applyFill="1" applyBorder="1" applyAlignment="1" applyProtection="1">
      <alignment horizontal="left" vertical="center"/>
      <protection/>
    </xf>
    <xf numFmtId="165" fontId="3" fillId="0" borderId="16" xfId="54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49" fontId="3" fillId="0" borderId="21" xfId="0" applyNumberFormat="1" applyFont="1" applyFill="1" applyBorder="1" applyAlignment="1">
      <alignment horizontal="left" vertical="center" indent="2"/>
    </xf>
    <xf numFmtId="165" fontId="3" fillId="0" borderId="15" xfId="54" applyFont="1" applyFill="1" applyBorder="1" applyAlignment="1" applyProtection="1">
      <alignment horizontal="right" vertical="center"/>
      <protection/>
    </xf>
    <xf numFmtId="165" fontId="3" fillId="0" borderId="16" xfId="54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>
      <alignment horizontal="center"/>
    </xf>
    <xf numFmtId="165" fontId="4" fillId="0" borderId="15" xfId="54" applyFont="1" applyFill="1" applyBorder="1" applyAlignment="1" applyProtection="1">
      <alignment horizontal="right" vertical="center"/>
      <protection/>
    </xf>
    <xf numFmtId="165" fontId="4" fillId="0" borderId="16" xfId="54" applyFont="1" applyFill="1" applyBorder="1" applyAlignment="1" applyProtection="1">
      <alignment horizontal="left" vertical="center" wrapText="1"/>
      <protection/>
    </xf>
    <xf numFmtId="165" fontId="2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 horizontal="left" vertical="center"/>
    </xf>
    <xf numFmtId="165" fontId="4" fillId="0" borderId="19" xfId="54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Alignment="1">
      <alignment horizontal="center"/>
    </xf>
    <xf numFmtId="0" fontId="4" fillId="0" borderId="22" xfId="0" applyNumberFormat="1" applyFont="1" applyFill="1" applyBorder="1" applyAlignment="1">
      <alignment horizontal="left" vertical="center"/>
    </xf>
    <xf numFmtId="165" fontId="4" fillId="0" borderId="11" xfId="54" applyFont="1" applyFill="1" applyBorder="1" applyAlignment="1" applyProtection="1">
      <alignment horizontal="right" vertical="center"/>
      <protection/>
    </xf>
    <xf numFmtId="165" fontId="4" fillId="0" borderId="22" xfId="54" applyFont="1" applyFill="1" applyBorder="1" applyAlignment="1" applyProtection="1">
      <alignment horizontal="right" vertical="center"/>
      <protection/>
    </xf>
    <xf numFmtId="0" fontId="4" fillId="0" borderId="21" xfId="0" applyNumberFormat="1" applyFont="1" applyFill="1" applyBorder="1" applyAlignment="1">
      <alignment horizontal="left" vertical="center" indent="2"/>
    </xf>
    <xf numFmtId="165" fontId="4" fillId="0" borderId="16" xfId="54" applyFont="1" applyFill="1" applyBorder="1" applyAlignment="1" applyProtection="1">
      <alignment horizontal="right" vertical="center"/>
      <protection/>
    </xf>
    <xf numFmtId="165" fontId="4" fillId="0" borderId="0" xfId="54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>
      <alignment horizontal="left" vertical="center" indent="5"/>
    </xf>
    <xf numFmtId="165" fontId="3" fillId="0" borderId="16" xfId="54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>
      <alignment horizontal="center"/>
    </xf>
    <xf numFmtId="165" fontId="3" fillId="0" borderId="18" xfId="54" applyFont="1" applyFill="1" applyBorder="1" applyAlignment="1" applyProtection="1">
      <alignment horizontal="right" vertical="center"/>
      <protection/>
    </xf>
    <xf numFmtId="165" fontId="3" fillId="0" borderId="18" xfId="54" applyFont="1" applyFill="1" applyBorder="1" applyAlignment="1" applyProtection="1">
      <alignment horizontal="left" vertical="center"/>
      <protection/>
    </xf>
    <xf numFmtId="165" fontId="4" fillId="0" borderId="13" xfId="54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>
      <alignment horizontal="left" vertical="center"/>
    </xf>
    <xf numFmtId="165" fontId="4" fillId="0" borderId="10" xfId="54" applyFont="1" applyFill="1" applyBorder="1" applyAlignment="1" applyProtection="1">
      <alignment horizontal="right" vertical="center"/>
      <protection/>
    </xf>
    <xf numFmtId="165" fontId="4" fillId="0" borderId="14" xfId="54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165" fontId="4" fillId="0" borderId="19" xfId="54" applyFont="1" applyFill="1" applyBorder="1" applyAlignment="1" applyProtection="1">
      <alignment horizontal="right" vertical="center"/>
      <protection/>
    </xf>
    <xf numFmtId="165" fontId="4" fillId="0" borderId="20" xfId="54" applyFont="1" applyFill="1" applyBorder="1" applyAlignment="1" applyProtection="1">
      <alignment horizontal="right" vertical="center"/>
      <protection/>
    </xf>
    <xf numFmtId="165" fontId="4" fillId="0" borderId="17" xfId="54" applyFont="1" applyFill="1" applyBorder="1" applyAlignment="1" applyProtection="1">
      <alignment horizontal="left" vertical="center"/>
      <protection/>
    </xf>
    <xf numFmtId="165" fontId="4" fillId="0" borderId="18" xfId="54" applyFont="1" applyFill="1" applyBorder="1" applyAlignment="1" applyProtection="1">
      <alignment horizontal="left" vertical="center"/>
      <protection/>
    </xf>
    <xf numFmtId="165" fontId="3" fillId="0" borderId="0" xfId="0" applyNumberFormat="1" applyFont="1" applyFill="1" applyAlignment="1">
      <alignment horizontal="center"/>
    </xf>
    <xf numFmtId="165" fontId="3" fillId="0" borderId="14" xfId="54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 indent="7"/>
    </xf>
    <xf numFmtId="0" fontId="4" fillId="0" borderId="0" xfId="0" applyFont="1" applyFill="1" applyAlignment="1">
      <alignment horizontal="left" indent="7"/>
    </xf>
    <xf numFmtId="0" fontId="3" fillId="0" borderId="0" xfId="0" applyFont="1" applyFill="1" applyAlignment="1">
      <alignment horizontal="left" indent="7"/>
    </xf>
    <xf numFmtId="49" fontId="3" fillId="0" borderId="0" xfId="0" applyNumberFormat="1" applyFont="1" applyFill="1" applyAlignment="1">
      <alignment/>
    </xf>
    <xf numFmtId="165" fontId="3" fillId="0" borderId="23" xfId="54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>
      <alignment/>
    </xf>
    <xf numFmtId="165" fontId="3" fillId="0" borderId="10" xfId="54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>
      <alignment/>
    </xf>
    <xf numFmtId="165" fontId="3" fillId="0" borderId="15" xfId="54" applyFont="1" applyFill="1" applyBorder="1" applyAlignment="1" applyProtection="1">
      <alignment horizontal="center"/>
      <protection/>
    </xf>
    <xf numFmtId="165" fontId="3" fillId="0" borderId="10" xfId="54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>
      <alignment horizontal="center" vertical="center"/>
    </xf>
    <xf numFmtId="165" fontId="3" fillId="0" borderId="15" xfId="54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>
      <alignment horizontal="center" vertical="top"/>
    </xf>
    <xf numFmtId="165" fontId="3" fillId="0" borderId="17" xfId="54" applyFont="1" applyFill="1" applyBorder="1" applyAlignment="1" applyProtection="1">
      <alignment horizontal="center"/>
      <protection/>
    </xf>
    <xf numFmtId="165" fontId="3" fillId="0" borderId="17" xfId="54" applyFont="1" applyFill="1" applyBorder="1" applyAlignment="1" applyProtection="1">
      <alignment horizontal="center" vertical="top"/>
      <protection/>
    </xf>
    <xf numFmtId="165" fontId="3" fillId="0" borderId="16" xfId="54" applyFont="1" applyFill="1" applyBorder="1" applyAlignment="1" applyProtection="1">
      <alignment horizontal="center" vertical="top"/>
      <protection/>
    </xf>
    <xf numFmtId="165" fontId="4" fillId="0" borderId="15" xfId="54" applyFont="1" applyFill="1" applyBorder="1" applyAlignment="1" applyProtection="1">
      <alignment horizontal="center"/>
      <protection/>
    </xf>
    <xf numFmtId="165" fontId="3" fillId="0" borderId="16" xfId="54" applyFont="1" applyFill="1" applyBorder="1" applyAlignment="1" applyProtection="1">
      <alignment horizontal="center"/>
      <protection/>
    </xf>
    <xf numFmtId="165" fontId="4" fillId="0" borderId="11" xfId="54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65" fontId="4" fillId="0" borderId="15" xfId="54" applyFont="1" applyFill="1" applyBorder="1" applyAlignment="1" applyProtection="1">
      <alignment vertical="center"/>
      <protection/>
    </xf>
    <xf numFmtId="165" fontId="4" fillId="0" borderId="16" xfId="54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>
      <alignment horizontal="left" vertical="center" indent="1"/>
    </xf>
    <xf numFmtId="165" fontId="3" fillId="0" borderId="15" xfId="54" applyFont="1" applyFill="1" applyBorder="1" applyAlignment="1" applyProtection="1">
      <alignment vertical="center"/>
      <protection/>
    </xf>
    <xf numFmtId="165" fontId="3" fillId="0" borderId="16" xfId="54" applyFont="1" applyFill="1" applyBorder="1" applyAlignment="1" applyProtection="1">
      <alignment vertical="center"/>
      <protection/>
    </xf>
    <xf numFmtId="0" fontId="7" fillId="0" borderId="0" xfId="0" applyNumberFormat="1" applyFont="1" applyAlignment="1">
      <alignment/>
    </xf>
    <xf numFmtId="165" fontId="4" fillId="0" borderId="18" xfId="54" applyFont="1" applyFill="1" applyBorder="1" applyAlignment="1" applyProtection="1">
      <alignment vertical="center"/>
      <protection/>
    </xf>
    <xf numFmtId="165" fontId="4" fillId="0" borderId="20" xfId="54" applyFont="1" applyFill="1" applyBorder="1" applyAlignment="1" applyProtection="1">
      <alignment/>
      <protection/>
    </xf>
    <xf numFmtId="165" fontId="4" fillId="0" borderId="16" xfId="54" applyFont="1" applyFill="1" applyBorder="1" applyAlignment="1" applyProtection="1">
      <alignment horizontal="center"/>
      <protection/>
    </xf>
    <xf numFmtId="165" fontId="4" fillId="0" borderId="20" xfId="54" applyFont="1" applyFill="1" applyBorder="1" applyAlignment="1" applyProtection="1">
      <alignment vertical="center"/>
      <protection/>
    </xf>
    <xf numFmtId="0" fontId="7" fillId="0" borderId="0" xfId="0" applyNumberFormat="1" applyFont="1" applyAlignment="1">
      <alignment/>
    </xf>
    <xf numFmtId="165" fontId="4" fillId="0" borderId="11" xfId="54" applyFont="1" applyFill="1" applyBorder="1" applyAlignment="1" applyProtection="1">
      <alignment vertical="center"/>
      <protection/>
    </xf>
    <xf numFmtId="0" fontId="7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5" fontId="3" fillId="0" borderId="18" xfId="54" applyFont="1" applyFill="1" applyBorder="1" applyAlignment="1" applyProtection="1">
      <alignment vertical="center"/>
      <protection/>
    </xf>
    <xf numFmtId="165" fontId="3" fillId="0" borderId="18" xfId="54" applyFont="1" applyFill="1" applyBorder="1" applyAlignment="1" applyProtection="1">
      <alignment horizontal="center"/>
      <protection/>
    </xf>
    <xf numFmtId="165" fontId="4" fillId="0" borderId="17" xfId="54" applyFont="1" applyFill="1" applyBorder="1" applyAlignment="1" applyProtection="1">
      <alignment vertical="center"/>
      <protection/>
    </xf>
    <xf numFmtId="165" fontId="4" fillId="0" borderId="17" xfId="54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>
      <alignment vertical="center"/>
    </xf>
    <xf numFmtId="165" fontId="4" fillId="0" borderId="20" xfId="54" applyFont="1" applyFill="1" applyBorder="1" applyAlignment="1" applyProtection="1">
      <alignment horizontal="center" vertical="center"/>
      <protection/>
    </xf>
    <xf numFmtId="165" fontId="4" fillId="0" borderId="19" xfId="54" applyFont="1" applyFill="1" applyBorder="1" applyAlignment="1" applyProtection="1">
      <alignment vertical="center"/>
      <protection/>
    </xf>
    <xf numFmtId="165" fontId="9" fillId="0" borderId="0" xfId="54" applyFont="1" applyFill="1" applyBorder="1" applyAlignment="1" applyProtection="1">
      <alignment/>
      <protection/>
    </xf>
    <xf numFmtId="165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65" fontId="4" fillId="0" borderId="0" xfId="54" applyFont="1" applyFill="1" applyBorder="1" applyAlignment="1" applyProtection="1">
      <alignment vertical="center"/>
      <protection/>
    </xf>
    <xf numFmtId="165" fontId="9" fillId="0" borderId="0" xfId="0" applyNumberFormat="1" applyFont="1" applyBorder="1" applyAlignment="1">
      <alignment/>
    </xf>
    <xf numFmtId="165" fontId="8" fillId="0" borderId="0" xfId="54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9" fontId="17" fillId="0" borderId="0" xfId="0" applyNumberFormat="1" applyFont="1" applyFill="1" applyAlignment="1">
      <alignment horizontal="left" indent="7"/>
    </xf>
    <xf numFmtId="2" fontId="14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Alignment="1">
      <alignment/>
    </xf>
    <xf numFmtId="40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40" fontId="12" fillId="0" borderId="19" xfId="0" applyNumberFormat="1" applyFont="1" applyFill="1" applyBorder="1" applyAlignment="1">
      <alignment horizontal="right" vertical="center"/>
    </xf>
    <xf numFmtId="40" fontId="12" fillId="0" borderId="10" xfId="0" applyNumberFormat="1" applyFont="1" applyFill="1" applyBorder="1" applyAlignment="1">
      <alignment vertical="center"/>
    </xf>
    <xf numFmtId="40" fontId="12" fillId="0" borderId="0" xfId="0" applyNumberFormat="1" applyFont="1" applyFill="1" applyBorder="1" applyAlignment="1">
      <alignment vertical="center"/>
    </xf>
    <xf numFmtId="40" fontId="1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0" fontId="13" fillId="0" borderId="15" xfId="0" applyNumberFormat="1" applyFont="1" applyFill="1" applyBorder="1" applyAlignment="1">
      <alignment vertical="center"/>
    </xf>
    <xf numFmtId="40" fontId="13" fillId="0" borderId="0" xfId="0" applyNumberFormat="1" applyFont="1" applyFill="1" applyBorder="1" applyAlignment="1">
      <alignment vertical="center"/>
    </xf>
    <xf numFmtId="40" fontId="13" fillId="0" borderId="23" xfId="0" applyNumberFormat="1" applyFont="1" applyFill="1" applyBorder="1" applyAlignment="1">
      <alignment horizontal="left" vertical="center"/>
    </xf>
    <xf numFmtId="40" fontId="13" fillId="0" borderId="17" xfId="0" applyNumberFormat="1" applyFont="1" applyFill="1" applyBorder="1" applyAlignment="1">
      <alignment vertical="center"/>
    </xf>
    <xf numFmtId="40" fontId="13" fillId="0" borderId="18" xfId="0" applyNumberFormat="1" applyFont="1" applyFill="1" applyBorder="1" applyAlignment="1">
      <alignment vertical="center"/>
    </xf>
    <xf numFmtId="40" fontId="13" fillId="0" borderId="21" xfId="0" applyNumberFormat="1" applyFont="1" applyFill="1" applyBorder="1" applyAlignment="1">
      <alignment vertical="center"/>
    </xf>
    <xf numFmtId="40" fontId="13" fillId="0" borderId="23" xfId="0" applyNumberFormat="1" applyFont="1" applyFill="1" applyBorder="1" applyAlignment="1">
      <alignment vertical="center"/>
    </xf>
    <xf numFmtId="40" fontId="13" fillId="0" borderId="24" xfId="0" applyNumberFormat="1" applyFont="1" applyFill="1" applyBorder="1" applyAlignment="1">
      <alignment vertical="center"/>
    </xf>
    <xf numFmtId="0" fontId="13" fillId="0" borderId="0" xfId="0" applyFont="1" applyBorder="1" applyAlignment="1">
      <alignment/>
    </xf>
    <xf numFmtId="40" fontId="12" fillId="0" borderId="15" xfId="0" applyNumberFormat="1" applyFont="1" applyFill="1" applyBorder="1" applyAlignment="1">
      <alignment vertical="center"/>
    </xf>
    <xf numFmtId="40" fontId="12" fillId="0" borderId="11" xfId="0" applyNumberFormat="1" applyFont="1" applyFill="1" applyBorder="1" applyAlignment="1">
      <alignment vertical="center"/>
    </xf>
    <xf numFmtId="40" fontId="13" fillId="0" borderId="16" xfId="0" applyNumberFormat="1" applyFont="1" applyFill="1" applyBorder="1" applyAlignment="1">
      <alignment vertical="center"/>
    </xf>
    <xf numFmtId="40" fontId="12" fillId="0" borderId="10" xfId="54" applyNumberFormat="1" applyFont="1" applyFill="1" applyBorder="1" applyAlignment="1" applyProtection="1">
      <alignment horizontal="right" vertical="center"/>
      <protection/>
    </xf>
    <xf numFmtId="40" fontId="12" fillId="0" borderId="14" xfId="54" applyNumberFormat="1" applyFont="1" applyFill="1" applyBorder="1" applyAlignment="1" applyProtection="1">
      <alignment horizontal="right" vertical="center"/>
      <protection/>
    </xf>
    <xf numFmtId="40" fontId="13" fillId="0" borderId="15" xfId="54" applyNumberFormat="1" applyFont="1" applyFill="1" applyBorder="1" applyAlignment="1" applyProtection="1">
      <alignment horizontal="right" vertical="center"/>
      <protection/>
    </xf>
    <xf numFmtId="40" fontId="13" fillId="0" borderId="0" xfId="54" applyNumberFormat="1" applyFont="1" applyFill="1" applyBorder="1" applyAlignment="1" applyProtection="1">
      <alignment horizontal="right" vertical="center"/>
      <protection/>
    </xf>
    <xf numFmtId="40" fontId="12" fillId="0" borderId="16" xfId="0" applyNumberFormat="1" applyFont="1" applyFill="1" applyBorder="1" applyAlignment="1">
      <alignment vertical="center"/>
    </xf>
    <xf numFmtId="40" fontId="13" fillId="0" borderId="0" xfId="54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>
      <alignment/>
    </xf>
    <xf numFmtId="40" fontId="12" fillId="0" borderId="16" xfId="54" applyNumberFormat="1" applyFont="1" applyFill="1" applyBorder="1" applyAlignment="1" applyProtection="1">
      <alignment horizontal="right" vertical="center"/>
      <protection/>
    </xf>
    <xf numFmtId="40" fontId="12" fillId="0" borderId="15" xfId="54" applyNumberFormat="1" applyFont="1" applyFill="1" applyBorder="1" applyAlignment="1" applyProtection="1">
      <alignment horizontal="right" vertical="center"/>
      <protection/>
    </xf>
    <xf numFmtId="40" fontId="12" fillId="0" borderId="22" xfId="54" applyNumberFormat="1" applyFont="1" applyFill="1" applyBorder="1" applyAlignment="1" applyProtection="1">
      <alignment horizontal="right" vertical="center"/>
      <protection/>
    </xf>
    <xf numFmtId="40" fontId="12" fillId="0" borderId="16" xfId="54" applyNumberFormat="1" applyFont="1" applyFill="1" applyBorder="1" applyAlignment="1" applyProtection="1">
      <alignment vertical="center"/>
      <protection/>
    </xf>
    <xf numFmtId="40" fontId="12" fillId="0" borderId="10" xfId="54" applyNumberFormat="1" applyFont="1" applyFill="1" applyBorder="1" applyAlignment="1" applyProtection="1">
      <alignment vertical="center"/>
      <protection/>
    </xf>
    <xf numFmtId="40" fontId="13" fillId="0" borderId="12" xfId="0" applyNumberFormat="1" applyFont="1" applyFill="1" applyBorder="1" applyAlignment="1">
      <alignment vertical="center"/>
    </xf>
    <xf numFmtId="40" fontId="13" fillId="0" borderId="14" xfId="0" applyNumberFormat="1" applyFont="1" applyFill="1" applyBorder="1" applyAlignment="1">
      <alignment vertical="center"/>
    </xf>
    <xf numFmtId="40" fontId="12" fillId="0" borderId="19" xfId="0" applyNumberFormat="1" applyFont="1" applyFill="1" applyBorder="1" applyAlignment="1">
      <alignment vertical="center"/>
    </xf>
    <xf numFmtId="40" fontId="12" fillId="0" borderId="20" xfId="0" applyNumberFormat="1" applyFont="1" applyFill="1" applyBorder="1" applyAlignment="1">
      <alignment vertical="center"/>
    </xf>
    <xf numFmtId="40" fontId="12" fillId="0" borderId="18" xfId="0" applyNumberFormat="1" applyFont="1" applyFill="1" applyBorder="1" applyAlignment="1">
      <alignment vertical="center"/>
    </xf>
    <xf numFmtId="165" fontId="8" fillId="0" borderId="0" xfId="54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 horizontal="left" vertical="center"/>
    </xf>
    <xf numFmtId="167" fontId="13" fillId="0" borderId="0" xfId="0" applyNumberFormat="1" applyFont="1" applyFill="1" applyAlignment="1">
      <alignment vertical="center"/>
    </xf>
    <xf numFmtId="167" fontId="13" fillId="0" borderId="0" xfId="0" applyNumberFormat="1" applyFont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vertical="center"/>
    </xf>
    <xf numFmtId="165" fontId="13" fillId="0" borderId="0" xfId="54" applyFont="1" applyFill="1" applyBorder="1" applyAlignment="1" applyProtection="1">
      <alignment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165" fontId="13" fillId="0" borderId="0" xfId="0" applyNumberFormat="1" applyFont="1" applyFill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>
      <alignment horizontal="left" indent="7"/>
    </xf>
    <xf numFmtId="2" fontId="18" fillId="0" borderId="14" xfId="0" applyNumberFormat="1" applyFont="1" applyFill="1" applyBorder="1" applyAlignment="1">
      <alignment/>
    </xf>
    <xf numFmtId="49" fontId="18" fillId="0" borderId="14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14" fontId="1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>
      <alignment/>
    </xf>
    <xf numFmtId="0" fontId="18" fillId="0" borderId="0" xfId="0" applyFont="1" applyAlignment="1">
      <alignment horizontal="right"/>
    </xf>
    <xf numFmtId="49" fontId="20" fillId="0" borderId="17" xfId="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165" fontId="18" fillId="0" borderId="16" xfId="54" applyFont="1" applyFill="1" applyBorder="1" applyAlignment="1" applyProtection="1">
      <alignment horizontal="right" vertical="center"/>
      <protection/>
    </xf>
    <xf numFmtId="165" fontId="18" fillId="0" borderId="15" xfId="54" applyFont="1" applyFill="1" applyBorder="1" applyAlignment="1" applyProtection="1">
      <alignment horizontal="right" vertical="center"/>
      <protection/>
    </xf>
    <xf numFmtId="165" fontId="18" fillId="0" borderId="0" xfId="54" applyFont="1" applyFill="1" applyBorder="1" applyAlignment="1" applyProtection="1">
      <alignment/>
      <protection/>
    </xf>
    <xf numFmtId="165" fontId="23" fillId="0" borderId="19" xfId="54" applyFont="1" applyFill="1" applyBorder="1" applyAlignment="1" applyProtection="1">
      <alignment horizontal="right" vertical="center"/>
      <protection/>
    </xf>
    <xf numFmtId="168" fontId="13" fillId="0" borderId="0" xfId="0" applyNumberFormat="1" applyFont="1" applyFill="1" applyAlignment="1">
      <alignment horizontal="left" vertical="center"/>
    </xf>
    <xf numFmtId="40" fontId="13" fillId="0" borderId="0" xfId="54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horizontal="left" vertical="center" indent="7"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indent="7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indent="1"/>
    </xf>
    <xf numFmtId="165" fontId="18" fillId="0" borderId="16" xfId="54" applyFont="1" applyFill="1" applyBorder="1" applyAlignment="1" applyProtection="1">
      <alignment horizontal="center" vertical="center"/>
      <protection/>
    </xf>
    <xf numFmtId="0" fontId="18" fillId="0" borderId="13" xfId="0" applyFont="1" applyBorder="1" applyAlignment="1">
      <alignment horizontal="left" vertical="center" indent="2"/>
    </xf>
    <xf numFmtId="0" fontId="18" fillId="0" borderId="13" xfId="0" applyFont="1" applyBorder="1" applyAlignment="1">
      <alignment horizontal="left" vertical="center" indent="3"/>
    </xf>
    <xf numFmtId="165" fontId="18" fillId="0" borderId="0" xfId="54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>
      <alignment vertical="center"/>
    </xf>
    <xf numFmtId="0" fontId="18" fillId="0" borderId="24" xfId="0" applyFont="1" applyBorder="1" applyAlignment="1">
      <alignment horizontal="left" vertical="center" indent="1"/>
    </xf>
    <xf numFmtId="49" fontId="18" fillId="0" borderId="12" xfId="0" applyNumberFormat="1" applyFont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49" fontId="18" fillId="0" borderId="13" xfId="0" applyNumberFormat="1" applyFont="1" applyBorder="1" applyAlignment="1">
      <alignment horizontal="left" vertical="center" indent="1"/>
    </xf>
    <xf numFmtId="49" fontId="18" fillId="0" borderId="13" xfId="0" applyNumberFormat="1" applyFont="1" applyBorder="1" applyAlignment="1">
      <alignment vertical="center"/>
    </xf>
    <xf numFmtId="49" fontId="18" fillId="0" borderId="13" xfId="0" applyNumberFormat="1" applyFont="1" applyBorder="1" applyAlignment="1">
      <alignment horizontal="left" vertical="center" indent="2"/>
    </xf>
    <xf numFmtId="49" fontId="18" fillId="0" borderId="13" xfId="0" applyNumberFormat="1" applyFont="1" applyBorder="1" applyAlignment="1">
      <alignment horizontal="left" vertical="center" indent="3"/>
    </xf>
    <xf numFmtId="49" fontId="23" fillId="0" borderId="12" xfId="0" applyNumberFormat="1" applyFont="1" applyBorder="1" applyAlignment="1">
      <alignment vertical="center"/>
    </xf>
    <xf numFmtId="0" fontId="23" fillId="0" borderId="0" xfId="0" applyFont="1" applyAlignment="1">
      <alignment/>
    </xf>
    <xf numFmtId="40" fontId="18" fillId="0" borderId="0" xfId="0" applyNumberFormat="1" applyFont="1" applyBorder="1" applyAlignment="1">
      <alignment/>
    </xf>
    <xf numFmtId="37" fontId="18" fillId="0" borderId="0" xfId="0" applyNumberFormat="1" applyFont="1" applyFill="1" applyBorder="1" applyAlignment="1">
      <alignment vertical="center"/>
    </xf>
    <xf numFmtId="37" fontId="18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center"/>
    </xf>
    <xf numFmtId="40" fontId="18" fillId="0" borderId="0" xfId="0" applyNumberFormat="1" applyFont="1" applyBorder="1" applyAlignment="1">
      <alignment horizontal="left" indent="3"/>
    </xf>
    <xf numFmtId="0" fontId="18" fillId="0" borderId="11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8" fillId="0" borderId="18" xfId="0" applyFont="1" applyFill="1" applyBorder="1" applyAlignment="1">
      <alignment wrapText="1"/>
    </xf>
    <xf numFmtId="0" fontId="18" fillId="0" borderId="17" xfId="0" applyFont="1" applyFill="1" applyBorder="1" applyAlignment="1">
      <alignment horizontal="center"/>
    </xf>
    <xf numFmtId="0" fontId="18" fillId="0" borderId="0" xfId="0" applyFont="1" applyBorder="1" applyAlignment="1">
      <alignment horizontal="justify" vertical="top" wrapText="1"/>
    </xf>
    <xf numFmtId="0" fontId="18" fillId="0" borderId="23" xfId="0" applyFont="1" applyBorder="1" applyAlignment="1">
      <alignment horizontal="justify" vertical="top" wrapText="1"/>
    </xf>
    <xf numFmtId="0" fontId="18" fillId="0" borderId="13" xfId="0" applyFont="1" applyBorder="1" applyAlignment="1">
      <alignment horizontal="justify" vertical="top" wrapText="1"/>
    </xf>
    <xf numFmtId="37" fontId="18" fillId="0" borderId="11" xfId="0" applyNumberFormat="1" applyFont="1" applyFill="1" applyBorder="1" applyAlignment="1">
      <alignment vertical="center" wrapText="1"/>
    </xf>
    <xf numFmtId="37" fontId="18" fillId="0" borderId="22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37" fontId="18" fillId="0" borderId="18" xfId="0" applyNumberFormat="1" applyFont="1" applyFill="1" applyBorder="1" applyAlignment="1">
      <alignment vertical="center" wrapText="1"/>
    </xf>
    <xf numFmtId="37" fontId="18" fillId="0" borderId="24" xfId="0" applyNumberFormat="1" applyFont="1" applyFill="1" applyBorder="1" applyAlignment="1">
      <alignment vertical="center" wrapText="1"/>
    </xf>
    <xf numFmtId="0" fontId="18" fillId="0" borderId="18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0" xfId="0" applyFont="1" applyBorder="1" applyAlignment="1">
      <alignment horizontal="left" vertical="top" indent="1"/>
    </xf>
    <xf numFmtId="165" fontId="18" fillId="0" borderId="0" xfId="54" applyFont="1" applyFill="1" applyBorder="1" applyAlignment="1" applyProtection="1">
      <alignment horizontal="center"/>
      <protection/>
    </xf>
    <xf numFmtId="165" fontId="23" fillId="0" borderId="0" xfId="54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left" indent="1"/>
    </xf>
    <xf numFmtId="168" fontId="13" fillId="0" borderId="0" xfId="0" applyNumberFormat="1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49" fontId="12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2" fontId="18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49" fontId="19" fillId="0" borderId="0" xfId="0" applyNumberFormat="1" applyFont="1" applyAlignment="1">
      <alignment horizontal="left" indent="7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3" fontId="23" fillId="0" borderId="13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40" fontId="13" fillId="0" borderId="0" xfId="0" applyNumberFormat="1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8" fillId="0" borderId="0" xfId="48" applyFont="1" applyAlignment="1">
      <alignment horizontal="center" vertical="center"/>
      <protection/>
    </xf>
    <xf numFmtId="0" fontId="18" fillId="0" borderId="0" xfId="48" applyFont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left" indent="7"/>
    </xf>
    <xf numFmtId="0" fontId="18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left" indent="7"/>
    </xf>
    <xf numFmtId="0" fontId="2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left" indent="7"/>
    </xf>
    <xf numFmtId="0" fontId="19" fillId="0" borderId="0" xfId="0" applyFont="1" applyAlignment="1">
      <alignment/>
    </xf>
    <xf numFmtId="0" fontId="18" fillId="0" borderId="0" xfId="48" applyFont="1" applyFill="1" applyAlignment="1">
      <alignment horizontal="left"/>
      <protection/>
    </xf>
    <xf numFmtId="49" fontId="18" fillId="0" borderId="0" xfId="48" applyNumberFormat="1" applyFont="1" applyBorder="1">
      <alignment/>
      <protection/>
    </xf>
    <xf numFmtId="0" fontId="19" fillId="0" borderId="0" xfId="48" applyFont="1" applyFill="1" applyAlignment="1">
      <alignment horizontal="left" vertical="center"/>
      <protection/>
    </xf>
    <xf numFmtId="0" fontId="19" fillId="0" borderId="0" xfId="48" applyFont="1" applyFill="1" applyAlignment="1">
      <alignment horizontal="center" vertical="center"/>
      <protection/>
    </xf>
    <xf numFmtId="49" fontId="19" fillId="0" borderId="17" xfId="48" applyNumberFormat="1" applyFont="1" applyFill="1" applyBorder="1" applyAlignment="1">
      <alignment horizontal="center" vertical="center" wrapText="1"/>
      <protection/>
    </xf>
    <xf numFmtId="3" fontId="26" fillId="0" borderId="21" xfId="48" applyNumberFormat="1" applyFont="1" applyFill="1" applyBorder="1" applyAlignment="1">
      <alignment horizontal="left" vertical="center"/>
      <protection/>
    </xf>
    <xf numFmtId="4" fontId="26" fillId="0" borderId="21" xfId="54" applyNumberFormat="1" applyFont="1" applyFill="1" applyBorder="1" applyAlignment="1" applyProtection="1">
      <alignment horizontal="right" vertical="center"/>
      <protection/>
    </xf>
    <xf numFmtId="165" fontId="26" fillId="0" borderId="0" xfId="57" applyFont="1" applyFill="1" applyBorder="1" applyAlignment="1" applyProtection="1">
      <alignment horizontal="right" vertical="center"/>
      <protection/>
    </xf>
    <xf numFmtId="3" fontId="19" fillId="0" borderId="21" xfId="48" applyNumberFormat="1" applyFont="1" applyFill="1" applyBorder="1" applyAlignment="1">
      <alignment horizontal="left" vertical="center" indent="1"/>
      <protection/>
    </xf>
    <xf numFmtId="4" fontId="19" fillId="0" borderId="21" xfId="54" applyNumberFormat="1" applyFont="1" applyFill="1" applyBorder="1" applyAlignment="1" applyProtection="1">
      <alignment horizontal="right" vertical="center"/>
      <protection/>
    </xf>
    <xf numFmtId="165" fontId="19" fillId="0" borderId="15" xfId="57" applyFont="1" applyFill="1" applyBorder="1" applyAlignment="1" applyProtection="1">
      <alignment horizontal="right" vertical="center"/>
      <protection/>
    </xf>
    <xf numFmtId="165" fontId="19" fillId="0" borderId="16" xfId="57" applyFont="1" applyFill="1" applyBorder="1" applyAlignment="1" applyProtection="1">
      <alignment horizontal="right" vertical="center"/>
      <protection/>
    </xf>
    <xf numFmtId="3" fontId="19" fillId="0" borderId="21" xfId="48" applyNumberFormat="1" applyFont="1" applyFill="1" applyBorder="1" applyAlignment="1">
      <alignment horizontal="left" vertical="center" indent="2"/>
      <protection/>
    </xf>
    <xf numFmtId="165" fontId="19" fillId="0" borderId="0" xfId="57" applyFont="1" applyFill="1" applyBorder="1" applyAlignment="1" applyProtection="1">
      <alignment horizontal="right" vertical="center"/>
      <protection/>
    </xf>
    <xf numFmtId="0" fontId="18" fillId="0" borderId="0" xfId="48" applyFont="1" applyFill="1" applyAlignment="1">
      <alignment horizontal="center" vertical="center"/>
      <protection/>
    </xf>
    <xf numFmtId="3" fontId="19" fillId="0" borderId="0" xfId="48" applyNumberFormat="1" applyFont="1" applyFill="1" applyBorder="1" applyAlignment="1">
      <alignment horizontal="left" vertical="center" indent="2"/>
      <protection/>
    </xf>
    <xf numFmtId="4" fontId="19" fillId="0" borderId="15" xfId="54" applyNumberFormat="1" applyFont="1" applyFill="1" applyBorder="1" applyAlignment="1" applyProtection="1">
      <alignment horizontal="right" vertical="center"/>
      <protection/>
    </xf>
    <xf numFmtId="3" fontId="26" fillId="0" borderId="0" xfId="48" applyNumberFormat="1" applyFont="1" applyFill="1" applyBorder="1" applyAlignment="1">
      <alignment horizontal="left" vertical="center"/>
      <protection/>
    </xf>
    <xf numFmtId="4" fontId="26" fillId="0" borderId="15" xfId="54" applyNumberFormat="1" applyFont="1" applyFill="1" applyBorder="1" applyAlignment="1" applyProtection="1">
      <alignment horizontal="right" vertical="center"/>
      <protection/>
    </xf>
    <xf numFmtId="165" fontId="26" fillId="0" borderId="15" xfId="57" applyFont="1" applyFill="1" applyBorder="1" applyAlignment="1" applyProtection="1">
      <alignment horizontal="right" vertical="center"/>
      <protection/>
    </xf>
    <xf numFmtId="165" fontId="26" fillId="0" borderId="16" xfId="57" applyFont="1" applyFill="1" applyBorder="1" applyAlignment="1" applyProtection="1">
      <alignment horizontal="right" vertical="center"/>
      <protection/>
    </xf>
    <xf numFmtId="3" fontId="19" fillId="0" borderId="0" xfId="48" applyNumberFormat="1" applyFont="1" applyFill="1" applyBorder="1" applyAlignment="1">
      <alignment horizontal="left" vertical="center" indent="1"/>
      <protection/>
    </xf>
    <xf numFmtId="0" fontId="23" fillId="0" borderId="0" xfId="48" applyFont="1" applyAlignment="1">
      <alignment horizontal="center" vertical="center"/>
      <protection/>
    </xf>
    <xf numFmtId="3" fontId="26" fillId="0" borderId="19" xfId="48" applyNumberFormat="1" applyFont="1" applyFill="1" applyBorder="1" applyAlignment="1">
      <alignment horizontal="left" vertical="center"/>
      <protection/>
    </xf>
    <xf numFmtId="4" fontId="26" fillId="0" borderId="19" xfId="54" applyNumberFormat="1" applyFont="1" applyFill="1" applyBorder="1" applyAlignment="1" applyProtection="1">
      <alignment horizontal="right" vertical="center"/>
      <protection/>
    </xf>
    <xf numFmtId="165" fontId="26" fillId="0" borderId="19" xfId="57" applyFont="1" applyFill="1" applyBorder="1" applyAlignment="1" applyProtection="1">
      <alignment horizontal="right" vertical="center"/>
      <protection/>
    </xf>
    <xf numFmtId="165" fontId="26" fillId="0" borderId="20" xfId="57" applyFont="1" applyFill="1" applyBorder="1" applyAlignment="1" applyProtection="1">
      <alignment horizontal="right" vertical="center"/>
      <protection/>
    </xf>
    <xf numFmtId="0" fontId="26" fillId="0" borderId="19" xfId="48" applyFont="1" applyFill="1" applyBorder="1" applyAlignment="1">
      <alignment horizontal="left" vertical="center"/>
      <protection/>
    </xf>
    <xf numFmtId="0" fontId="18" fillId="0" borderId="12" xfId="48" applyFont="1" applyFill="1" applyBorder="1" applyAlignment="1">
      <alignment horizontal="center" vertical="center"/>
      <protection/>
    </xf>
    <xf numFmtId="3" fontId="18" fillId="0" borderId="12" xfId="48" applyNumberFormat="1" applyFont="1" applyFill="1" applyBorder="1" applyAlignment="1">
      <alignment horizontal="center" vertical="center"/>
      <protection/>
    </xf>
    <xf numFmtId="3" fontId="18" fillId="0" borderId="0" xfId="48" applyNumberFormat="1" applyFont="1" applyFill="1" applyBorder="1" applyAlignment="1">
      <alignment horizontal="center" vertical="center"/>
      <protection/>
    </xf>
    <xf numFmtId="4" fontId="26" fillId="0" borderId="0" xfId="48" applyNumberFormat="1" applyFont="1" applyFill="1" applyBorder="1" applyAlignment="1">
      <alignment horizontal="left" vertical="center" wrapText="1"/>
      <protection/>
    </xf>
    <xf numFmtId="165" fontId="26" fillId="0" borderId="15" xfId="57" applyFont="1" applyFill="1" applyBorder="1" applyAlignment="1" applyProtection="1">
      <alignment horizontal="right" vertical="center" wrapText="1"/>
      <protection/>
    </xf>
    <xf numFmtId="165" fontId="26" fillId="0" borderId="16" xfId="57" applyFont="1" applyFill="1" applyBorder="1" applyAlignment="1" applyProtection="1">
      <alignment horizontal="right" vertical="center" wrapText="1"/>
      <protection/>
    </xf>
    <xf numFmtId="165" fontId="19" fillId="0" borderId="15" xfId="57" applyFont="1" applyFill="1" applyBorder="1" applyAlignment="1" applyProtection="1">
      <alignment horizontal="right" vertical="center" wrapText="1"/>
      <protection/>
    </xf>
    <xf numFmtId="3" fontId="26" fillId="0" borderId="19" xfId="48" applyNumberFormat="1" applyFont="1" applyFill="1" applyBorder="1" applyAlignment="1">
      <alignment vertical="center"/>
      <protection/>
    </xf>
    <xf numFmtId="3" fontId="23" fillId="0" borderId="12" xfId="48" applyNumberFormat="1" applyFont="1" applyFill="1" applyBorder="1" applyAlignment="1">
      <alignment vertical="center"/>
      <protection/>
    </xf>
    <xf numFmtId="165" fontId="18" fillId="0" borderId="12" xfId="57" applyFont="1" applyFill="1" applyBorder="1" applyAlignment="1" applyProtection="1">
      <alignment horizontal="right" vertical="center"/>
      <protection/>
    </xf>
    <xf numFmtId="0" fontId="26" fillId="0" borderId="12" xfId="48" applyFont="1" applyFill="1" applyBorder="1" applyAlignment="1">
      <alignment horizontal="left" vertical="center"/>
      <protection/>
    </xf>
    <xf numFmtId="0" fontId="19" fillId="0" borderId="0" xfId="48" applyFont="1" applyAlignment="1">
      <alignment horizontal="center" vertical="center"/>
      <protection/>
    </xf>
    <xf numFmtId="37" fontId="18" fillId="0" borderId="20" xfId="48" applyNumberFormat="1" applyFont="1" applyFill="1" applyBorder="1" applyAlignment="1">
      <alignment horizontal="center" vertical="center"/>
      <protection/>
    </xf>
    <xf numFmtId="165" fontId="23" fillId="0" borderId="20" xfId="57" applyFont="1" applyFill="1" applyBorder="1" applyAlignment="1" applyProtection="1">
      <alignment horizontal="center" vertical="center"/>
      <protection/>
    </xf>
    <xf numFmtId="3" fontId="23" fillId="0" borderId="0" xfId="48" applyNumberFormat="1" applyFont="1" applyFill="1" applyBorder="1" applyAlignment="1">
      <alignment vertic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18" fillId="0" borderId="0" xfId="48" applyFont="1" applyFill="1" applyBorder="1" applyAlignment="1">
      <alignment horizontal="center" vertical="center"/>
      <protection/>
    </xf>
    <xf numFmtId="3" fontId="23" fillId="0" borderId="13" xfId="48" applyNumberFormat="1" applyFont="1" applyFill="1" applyBorder="1" applyAlignment="1">
      <alignment vertical="center"/>
      <protection/>
    </xf>
    <xf numFmtId="3" fontId="18" fillId="0" borderId="23" xfId="48" applyNumberFormat="1" applyFont="1" applyFill="1" applyBorder="1" applyAlignment="1">
      <alignment horizontal="center" vertical="center"/>
      <protection/>
    </xf>
    <xf numFmtId="3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165" fontId="18" fillId="0" borderId="0" xfId="54" applyFont="1" applyFill="1" applyBorder="1" applyAlignment="1" applyProtection="1">
      <alignment horizontal="center" vertical="center"/>
      <protection/>
    </xf>
    <xf numFmtId="166" fontId="20" fillId="0" borderId="0" xfId="0" applyNumberFormat="1" applyFont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wrapText="1" indent="2"/>
    </xf>
    <xf numFmtId="0" fontId="13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wrapText="1" indent="1"/>
    </xf>
    <xf numFmtId="0" fontId="23" fillId="0" borderId="12" xfId="0" applyFont="1" applyFill="1" applyBorder="1" applyAlignment="1">
      <alignment horizontal="left" vertical="center" wrapText="1"/>
    </xf>
    <xf numFmtId="165" fontId="23" fillId="0" borderId="15" xfId="54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13" fillId="0" borderId="22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/>
    </xf>
    <xf numFmtId="0" fontId="18" fillId="0" borderId="2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center" wrapText="1"/>
    </xf>
    <xf numFmtId="165" fontId="23" fillId="0" borderId="0" xfId="0" applyNumberFormat="1" applyFont="1" applyFill="1" applyBorder="1" applyAlignment="1">
      <alignment horizontal="center" vertical="top" wrapText="1"/>
    </xf>
    <xf numFmtId="165" fontId="23" fillId="0" borderId="16" xfId="54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 indent="1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 indent="1"/>
    </xf>
    <xf numFmtId="0" fontId="13" fillId="0" borderId="0" xfId="0" applyFont="1" applyFill="1" applyBorder="1" applyAlignment="1">
      <alignment horizontal="left" wrapText="1" indent="2"/>
    </xf>
    <xf numFmtId="0" fontId="12" fillId="0" borderId="0" xfId="0" applyFont="1" applyFill="1" applyBorder="1" applyAlignment="1">
      <alignment horizontal="left" vertical="center" wrapText="1"/>
    </xf>
    <xf numFmtId="37" fontId="13" fillId="0" borderId="0" xfId="0" applyNumberFormat="1" applyFont="1" applyAlignment="1">
      <alignment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166" fontId="13" fillId="0" borderId="0" xfId="0" applyNumberFormat="1" applyFont="1" applyAlignment="1">
      <alignment horizontal="right"/>
    </xf>
    <xf numFmtId="0" fontId="12" fillId="0" borderId="1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37" fontId="13" fillId="0" borderId="0" xfId="0" applyNumberFormat="1" applyFont="1" applyBorder="1" applyAlignment="1">
      <alignment vertical="center"/>
    </xf>
    <xf numFmtId="0" fontId="13" fillId="0" borderId="21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165" fontId="13" fillId="0" borderId="0" xfId="54" applyFont="1" applyFill="1" applyBorder="1" applyAlignment="1" applyProtection="1">
      <alignment vertical="center"/>
      <protection/>
    </xf>
    <xf numFmtId="4" fontId="13" fillId="0" borderId="0" xfId="0" applyNumberFormat="1" applyFont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37" fontId="13" fillId="0" borderId="0" xfId="0" applyNumberFormat="1" applyFont="1" applyAlignment="1">
      <alignment vertical="center"/>
    </xf>
    <xf numFmtId="0" fontId="12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65" fontId="13" fillId="0" borderId="21" xfId="54" applyFont="1" applyFill="1" applyBorder="1" applyAlignment="1" applyProtection="1">
      <alignment horizontal="center" vertical="center"/>
      <protection/>
    </xf>
    <xf numFmtId="165" fontId="13" fillId="0" borderId="15" xfId="54" applyFont="1" applyFill="1" applyBorder="1" applyAlignment="1" applyProtection="1">
      <alignment horizontal="center" vertical="center"/>
      <protection/>
    </xf>
    <xf numFmtId="0" fontId="12" fillId="0" borderId="13" xfId="0" applyFont="1" applyBorder="1" applyAlignment="1">
      <alignment vertical="center"/>
    </xf>
    <xf numFmtId="165" fontId="12" fillId="0" borderId="13" xfId="54" applyFont="1" applyFill="1" applyBorder="1" applyAlignment="1" applyProtection="1">
      <alignment horizontal="center" vertical="center"/>
      <protection/>
    </xf>
    <xf numFmtId="165" fontId="12" fillId="0" borderId="19" xfId="54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37" fontId="13" fillId="0" borderId="0" xfId="0" applyNumberFormat="1" applyFont="1" applyAlignment="1">
      <alignment horizontal="left" vertical="center" indent="8"/>
    </xf>
    <xf numFmtId="0" fontId="13" fillId="0" borderId="0" xfId="0" applyFont="1" applyAlignment="1">
      <alignment horizontal="left" vertical="center" indent="8"/>
    </xf>
    <xf numFmtId="0" fontId="13" fillId="0" borderId="24" xfId="0" applyFont="1" applyBorder="1" applyAlignment="1">
      <alignment horizontal="center" vertical="center"/>
    </xf>
    <xf numFmtId="9" fontId="13" fillId="0" borderId="15" xfId="0" applyNumberFormat="1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37" fontId="13" fillId="0" borderId="0" xfId="0" applyNumberFormat="1" applyFont="1" applyBorder="1" applyAlignment="1">
      <alignment horizontal="right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22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37" fontId="19" fillId="0" borderId="0" xfId="0" applyNumberFormat="1" applyFont="1" applyFill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37" fontId="19" fillId="0" borderId="19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165" fontId="19" fillId="0" borderId="15" xfId="0" applyNumberFormat="1" applyFont="1" applyFill="1" applyBorder="1" applyAlignment="1">
      <alignment vertical="center"/>
    </xf>
    <xf numFmtId="37" fontId="19" fillId="0" borderId="15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165" fontId="19" fillId="0" borderId="15" xfId="54" applyFont="1" applyFill="1" applyBorder="1" applyAlignment="1" applyProtection="1">
      <alignment vertical="center"/>
      <protection/>
    </xf>
    <xf numFmtId="165" fontId="19" fillId="0" borderId="16" xfId="54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>
      <alignment vertical="center"/>
    </xf>
    <xf numFmtId="37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9" fontId="19" fillId="0" borderId="12" xfId="0" applyNumberFormat="1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center" vertical="center"/>
    </xf>
    <xf numFmtId="164" fontId="23" fillId="0" borderId="0" xfId="0" applyNumberFormat="1" applyFont="1" applyFill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left" vertical="center" wrapText="1"/>
    </xf>
    <xf numFmtId="165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 indent="1"/>
    </xf>
    <xf numFmtId="165" fontId="18" fillId="0" borderId="0" xfId="0" applyNumberFormat="1" applyFont="1" applyFill="1" applyAlignment="1">
      <alignment horizontal="left" vertical="center" indent="1"/>
    </xf>
    <xf numFmtId="165" fontId="18" fillId="0" borderId="0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Alignment="1">
      <alignment horizontal="center" vertical="center"/>
    </xf>
    <xf numFmtId="165" fontId="18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32" fillId="0" borderId="0" xfId="54" applyFont="1" applyFill="1" applyAlignment="1">
      <alignment horizontal="center"/>
    </xf>
    <xf numFmtId="164" fontId="33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5" fontId="33" fillId="0" borderId="0" xfId="0" applyNumberFormat="1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0" fontId="18" fillId="0" borderId="17" xfId="0" applyFont="1" applyFill="1" applyBorder="1" applyAlignment="1">
      <alignment horizontal="center" vertical="center" wrapText="1"/>
    </xf>
    <xf numFmtId="40" fontId="13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 horizontal="left" vertical="center" indent="1"/>
    </xf>
    <xf numFmtId="40" fontId="13" fillId="0" borderId="21" xfId="0" applyNumberFormat="1" applyFont="1" applyFill="1" applyBorder="1" applyAlignment="1">
      <alignment horizontal="left" vertical="center"/>
    </xf>
    <xf numFmtId="40" fontId="12" fillId="0" borderId="21" xfId="0" applyNumberFormat="1" applyFont="1" applyFill="1" applyBorder="1" applyAlignment="1">
      <alignment horizontal="left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3" fillId="0" borderId="0" xfId="0" applyFont="1" applyBorder="1" applyAlignment="1">
      <alignment/>
    </xf>
    <xf numFmtId="0" fontId="18" fillId="34" borderId="0" xfId="48" applyFont="1" applyFill="1" applyAlignment="1">
      <alignment horizontal="center" vertical="center"/>
      <protection/>
    </xf>
    <xf numFmtId="4" fontId="14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 horizontal="right"/>
    </xf>
    <xf numFmtId="4" fontId="12" fillId="0" borderId="10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" fontId="15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0" fontId="13" fillId="0" borderId="21" xfId="54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0" fontId="13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166" fontId="18" fillId="0" borderId="0" xfId="0" applyNumberFormat="1" applyFont="1" applyFill="1" applyAlignment="1">
      <alignment horizontal="right"/>
    </xf>
    <xf numFmtId="0" fontId="12" fillId="0" borderId="2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2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0" fontId="12" fillId="0" borderId="0" xfId="0" applyNumberFormat="1" applyFont="1" applyFill="1" applyAlignment="1">
      <alignment/>
    </xf>
    <xf numFmtId="40" fontId="12" fillId="0" borderId="0" xfId="0" applyNumberFormat="1" applyFont="1" applyFill="1" applyBorder="1" applyAlignment="1">
      <alignment horizontal="left" vertical="center"/>
    </xf>
    <xf numFmtId="40" fontId="13" fillId="0" borderId="0" xfId="0" applyNumberFormat="1" applyFont="1" applyFill="1" applyBorder="1" applyAlignment="1">
      <alignment/>
    </xf>
    <xf numFmtId="40" fontId="13" fillId="0" borderId="24" xfId="0" applyNumberFormat="1" applyFont="1" applyFill="1" applyBorder="1" applyAlignment="1">
      <alignment horizontal="left" vertical="center"/>
    </xf>
    <xf numFmtId="40" fontId="14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40" fontId="12" fillId="0" borderId="23" xfId="0" applyNumberFormat="1" applyFont="1" applyFill="1" applyBorder="1" applyAlignment="1">
      <alignment horizontal="left" vertical="center"/>
    </xf>
    <xf numFmtId="165" fontId="0" fillId="0" borderId="0" xfId="54" applyFont="1" applyFill="1" applyAlignment="1">
      <alignment/>
    </xf>
    <xf numFmtId="40" fontId="13" fillId="0" borderId="0" xfId="0" applyNumberFormat="1" applyFont="1" applyFill="1" applyBorder="1" applyAlignment="1">
      <alignment horizontal="left" vertical="center" indent="3"/>
    </xf>
    <xf numFmtId="0" fontId="13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40" fontId="12" fillId="0" borderId="0" xfId="54" applyNumberFormat="1" applyFont="1" applyFill="1" applyBorder="1" applyAlignment="1" applyProtection="1">
      <alignment horizontal="right" vertical="center"/>
      <protection/>
    </xf>
    <xf numFmtId="40" fontId="13" fillId="0" borderId="0" xfId="0" applyNumberFormat="1" applyFont="1" applyFill="1" applyAlignment="1">
      <alignment horizontal="right"/>
    </xf>
    <xf numFmtId="165" fontId="12" fillId="0" borderId="0" xfId="54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 vertical="center"/>
    </xf>
    <xf numFmtId="40" fontId="12" fillId="0" borderId="21" xfId="0" applyNumberFormat="1" applyFont="1" applyFill="1" applyBorder="1" applyAlignment="1">
      <alignment vertical="center"/>
    </xf>
    <xf numFmtId="40" fontId="12" fillId="0" borderId="25" xfId="0" applyNumberFormat="1" applyFont="1" applyFill="1" applyBorder="1" applyAlignment="1">
      <alignment vertical="center"/>
    </xf>
    <xf numFmtId="40" fontId="13" fillId="0" borderId="26" xfId="0" applyNumberFormat="1" applyFont="1" applyFill="1" applyBorder="1" applyAlignment="1">
      <alignment vertical="center"/>
    </xf>
    <xf numFmtId="40" fontId="13" fillId="0" borderId="27" xfId="0" applyNumberFormat="1" applyFont="1" applyFill="1" applyBorder="1" applyAlignment="1">
      <alignment vertical="center"/>
    </xf>
    <xf numFmtId="40" fontId="12" fillId="0" borderId="22" xfId="0" applyNumberFormat="1" applyFont="1" applyFill="1" applyBorder="1" applyAlignment="1">
      <alignment vertical="center"/>
    </xf>
    <xf numFmtId="40" fontId="12" fillId="0" borderId="28" xfId="54" applyNumberFormat="1" applyFont="1" applyFill="1" applyBorder="1" applyAlignment="1" applyProtection="1">
      <alignment horizontal="right" vertical="center"/>
      <protection/>
    </xf>
    <xf numFmtId="40" fontId="12" fillId="0" borderId="29" xfId="0" applyNumberFormat="1" applyFont="1" applyFill="1" applyBorder="1" applyAlignment="1">
      <alignment vertical="center"/>
    </xf>
    <xf numFmtId="40" fontId="12" fillId="0" borderId="30" xfId="0" applyNumberFormat="1" applyFont="1" applyFill="1" applyBorder="1" applyAlignment="1">
      <alignment vertical="center"/>
    </xf>
    <xf numFmtId="40" fontId="12" fillId="0" borderId="21" xfId="54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>
      <alignment horizontal="left" indent="7"/>
    </xf>
    <xf numFmtId="4" fontId="4" fillId="0" borderId="0" xfId="0" applyNumberFormat="1" applyFont="1" applyFill="1" applyAlignment="1">
      <alignment horizontal="left" indent="7"/>
    </xf>
    <xf numFmtId="4" fontId="3" fillId="0" borderId="0" xfId="0" applyNumberFormat="1" applyFont="1" applyFill="1" applyAlignment="1">
      <alignment horizontal="left" indent="7"/>
    </xf>
    <xf numFmtId="0" fontId="3" fillId="0" borderId="21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left" vertical="center" indent="4"/>
    </xf>
    <xf numFmtId="0" fontId="3" fillId="0" borderId="24" xfId="0" applyNumberFormat="1" applyFont="1" applyFill="1" applyBorder="1" applyAlignment="1">
      <alignment horizontal="left" vertical="center" indent="4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indent="4"/>
    </xf>
    <xf numFmtId="0" fontId="1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4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9"/>
    </xf>
    <xf numFmtId="16" fontId="0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indent="7"/>
    </xf>
    <xf numFmtId="49" fontId="18" fillId="0" borderId="0" xfId="0" applyNumberFormat="1" applyFont="1" applyFill="1" applyAlignment="1">
      <alignment horizontal="left" indent="7"/>
    </xf>
    <xf numFmtId="0" fontId="18" fillId="0" borderId="0" xfId="0" applyFont="1" applyFill="1" applyAlignment="1">
      <alignment horizontal="right"/>
    </xf>
    <xf numFmtId="165" fontId="23" fillId="0" borderId="11" xfId="54" applyFont="1" applyFill="1" applyBorder="1" applyAlignment="1" applyProtection="1">
      <alignment horizontal="right" vertical="center"/>
      <protection/>
    </xf>
    <xf numFmtId="165" fontId="23" fillId="0" borderId="15" xfId="54" applyFont="1" applyFill="1" applyBorder="1" applyAlignment="1" applyProtection="1">
      <alignment horizontal="right" vertical="center"/>
      <protection/>
    </xf>
    <xf numFmtId="168" fontId="13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left" indent="7"/>
    </xf>
    <xf numFmtId="49" fontId="12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left" indent="7"/>
    </xf>
    <xf numFmtId="49" fontId="13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left" indent="7"/>
    </xf>
    <xf numFmtId="0" fontId="18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 vertical="center"/>
    </xf>
    <xf numFmtId="0" fontId="18" fillId="0" borderId="18" xfId="0" applyNumberFormat="1" applyFont="1" applyFill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40" fontId="13" fillId="0" borderId="0" xfId="0" applyNumberFormat="1" applyFont="1" applyFill="1" applyAlignment="1">
      <alignment vertical="center"/>
    </xf>
    <xf numFmtId="49" fontId="18" fillId="0" borderId="0" xfId="48" applyNumberFormat="1" applyFont="1" applyFill="1" applyBorder="1">
      <alignment/>
      <protection/>
    </xf>
    <xf numFmtId="0" fontId="20" fillId="0" borderId="0" xfId="0" applyFont="1" applyFill="1" applyBorder="1" applyAlignment="1">
      <alignment horizontal="left" vertical="center" wrapText="1"/>
    </xf>
    <xf numFmtId="165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66" fontId="20" fillId="0" borderId="0" xfId="0" applyNumberFormat="1" applyFont="1" applyFill="1" applyAlignment="1">
      <alignment horizontal="right" vertical="center"/>
    </xf>
    <xf numFmtId="0" fontId="18" fillId="0" borderId="17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left" vertical="center" wrapText="1" indent="2"/>
    </xf>
    <xf numFmtId="165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165" fontId="23" fillId="0" borderId="23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indent="7"/>
    </xf>
    <xf numFmtId="0" fontId="18" fillId="0" borderId="0" xfId="50" applyFont="1" applyFill="1" applyAlignment="1">
      <alignment horizontal="center"/>
      <protection/>
    </xf>
    <xf numFmtId="0" fontId="18" fillId="35" borderId="0" xfId="50" applyFont="1" applyFill="1" applyAlignment="1">
      <alignment horizontal="center"/>
      <protection/>
    </xf>
    <xf numFmtId="0" fontId="18" fillId="0" borderId="0" xfId="0" applyNumberFormat="1" applyFont="1" applyFill="1" applyAlignment="1">
      <alignment/>
    </xf>
    <xf numFmtId="0" fontId="23" fillId="0" borderId="0" xfId="48" applyFont="1" applyFill="1" applyAlignment="1">
      <alignment horizontal="center" vertical="center"/>
      <protection/>
    </xf>
    <xf numFmtId="2" fontId="13" fillId="0" borderId="0" xfId="0" applyNumberFormat="1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vertical="center"/>
    </xf>
    <xf numFmtId="43" fontId="3" fillId="0" borderId="0" xfId="0" applyNumberFormat="1" applyFont="1" applyFill="1" applyAlignment="1">
      <alignment horizontal="left" indent="7"/>
    </xf>
    <xf numFmtId="43" fontId="4" fillId="0" borderId="0" xfId="0" applyNumberFormat="1" applyFont="1" applyFill="1" applyAlignment="1">
      <alignment horizontal="left" indent="7"/>
    </xf>
    <xf numFmtId="165" fontId="2" fillId="0" borderId="0" xfId="54" applyFont="1" applyFill="1" applyAlignment="1">
      <alignment horizontal="left" indent="7"/>
    </xf>
    <xf numFmtId="165" fontId="36" fillId="0" borderId="14" xfId="54" applyFont="1" applyFill="1" applyBorder="1" applyAlignment="1" applyProtection="1">
      <alignment horizontal="center"/>
      <protection/>
    </xf>
    <xf numFmtId="165" fontId="37" fillId="0" borderId="0" xfId="54" applyFont="1" applyFill="1" applyBorder="1" applyAlignment="1" applyProtection="1">
      <alignment horizontal="right"/>
      <protection/>
    </xf>
    <xf numFmtId="40" fontId="38" fillId="0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Alignment="1">
      <alignment horizontal="center"/>
    </xf>
    <xf numFmtId="43" fontId="18" fillId="0" borderId="14" xfId="0" applyNumberFormat="1" applyFont="1" applyFill="1" applyBorder="1" applyAlignment="1">
      <alignment/>
    </xf>
    <xf numFmtId="164" fontId="13" fillId="0" borderId="0" xfId="0" applyNumberFormat="1" applyFont="1" applyFill="1" applyAlignment="1">
      <alignment horizontal="center" vertical="center"/>
    </xf>
    <xf numFmtId="43" fontId="42" fillId="0" borderId="0" xfId="0" applyNumberFormat="1" applyFont="1" applyFill="1" applyAlignment="1">
      <alignment/>
    </xf>
    <xf numFmtId="43" fontId="23" fillId="0" borderId="0" xfId="0" applyNumberFormat="1" applyFont="1" applyFill="1" applyAlignment="1">
      <alignment horizontal="center" vertical="center"/>
    </xf>
    <xf numFmtId="164" fontId="23" fillId="0" borderId="0" xfId="0" applyNumberFormat="1" applyFont="1" applyFill="1" applyAlignment="1">
      <alignment horizontal="right" vertical="center"/>
    </xf>
    <xf numFmtId="40" fontId="23" fillId="0" borderId="0" xfId="0" applyNumberFormat="1" applyFont="1" applyFill="1" applyAlignment="1">
      <alignment horizontal="right" vertical="center"/>
    </xf>
    <xf numFmtId="43" fontId="23" fillId="0" borderId="0" xfId="0" applyNumberFormat="1" applyFont="1" applyFill="1" applyAlignment="1">
      <alignment horizontal="right" vertical="center"/>
    </xf>
    <xf numFmtId="165" fontId="23" fillId="0" borderId="0" xfId="0" applyNumberFormat="1" applyFont="1" applyFill="1" applyAlignment="1">
      <alignment horizontal="right" vertical="center"/>
    </xf>
    <xf numFmtId="43" fontId="18" fillId="0" borderId="0" xfId="0" applyNumberFormat="1" applyFont="1" applyFill="1" applyBorder="1" applyAlignment="1">
      <alignment horizontal="center" vertical="center"/>
    </xf>
    <xf numFmtId="43" fontId="18" fillId="0" borderId="0" xfId="0" applyNumberFormat="1" applyFont="1" applyFill="1" applyAlignment="1">
      <alignment horizontal="center" vertical="center"/>
    </xf>
    <xf numFmtId="43" fontId="18" fillId="0" borderId="0" xfId="0" applyNumberFormat="1" applyFont="1" applyFill="1" applyAlignment="1">
      <alignment horizontal="right" vertical="center"/>
    </xf>
    <xf numFmtId="43" fontId="39" fillId="0" borderId="0" xfId="0" applyNumberFormat="1" applyFont="1" applyFill="1" applyAlignment="1">
      <alignment horizontal="right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43" fontId="47" fillId="0" borderId="0" xfId="0" applyNumberFormat="1" applyFont="1" applyFill="1" applyAlignment="1">
      <alignment horizontal="center" vertical="center"/>
    </xf>
    <xf numFmtId="164" fontId="48" fillId="0" borderId="0" xfId="0" applyNumberFormat="1" applyFont="1" applyFill="1" applyAlignment="1">
      <alignment horizontal="center" vertical="center"/>
    </xf>
    <xf numFmtId="165" fontId="48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indent="7"/>
    </xf>
    <xf numFmtId="0" fontId="13" fillId="0" borderId="0" xfId="0" applyFont="1" applyFill="1" applyBorder="1" applyAlignment="1">
      <alignment horizontal="left" indent="7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 horizontal="center" vertical="center"/>
    </xf>
    <xf numFmtId="43" fontId="18" fillId="0" borderId="0" xfId="0" applyNumberFormat="1" applyFont="1" applyFill="1" applyAlignment="1">
      <alignment horizontal="left" vertical="center" indent="1"/>
    </xf>
    <xf numFmtId="0" fontId="18" fillId="0" borderId="0" xfId="0" applyFont="1" applyFill="1" applyAlignment="1">
      <alignment horizontal="right" vertical="center" indent="1"/>
    </xf>
    <xf numFmtId="43" fontId="23" fillId="0" borderId="0" xfId="0" applyNumberFormat="1" applyFont="1" applyFill="1" applyAlignment="1">
      <alignment horizontal="left" vertical="center" indent="1"/>
    </xf>
    <xf numFmtId="165" fontId="42" fillId="0" borderId="0" xfId="0" applyNumberFormat="1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left" vertical="center" indent="1"/>
    </xf>
    <xf numFmtId="0" fontId="18" fillId="0" borderId="0" xfId="0" applyFont="1" applyFill="1" applyAlignment="1">
      <alignment horizontal="left" vertical="center" indent="2"/>
    </xf>
    <xf numFmtId="0" fontId="12" fillId="0" borderId="0" xfId="0" applyFont="1" applyFill="1" applyBorder="1" applyAlignment="1">
      <alignment horizontal="left" vertical="center" wrapText="1" indent="2"/>
    </xf>
    <xf numFmtId="0" fontId="13" fillId="0" borderId="1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left" vertical="center" indent="1"/>
    </xf>
    <xf numFmtId="49" fontId="26" fillId="0" borderId="12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18" fillId="0" borderId="24" xfId="0" applyFont="1" applyFill="1" applyBorder="1" applyAlignment="1">
      <alignment/>
    </xf>
    <xf numFmtId="0" fontId="23" fillId="0" borderId="22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top" wrapText="1"/>
    </xf>
    <xf numFmtId="0" fontId="23" fillId="0" borderId="24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right" vertical="center"/>
    </xf>
    <xf numFmtId="2" fontId="18" fillId="0" borderId="0" xfId="0" applyNumberFormat="1" applyFont="1" applyFill="1" applyAlignment="1">
      <alignment horizontal="center" vertical="center"/>
    </xf>
    <xf numFmtId="0" fontId="18" fillId="0" borderId="21" xfId="0" applyFont="1" applyFill="1" applyBorder="1" applyAlignment="1">
      <alignment/>
    </xf>
    <xf numFmtId="0" fontId="18" fillId="0" borderId="21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 vertical="center"/>
    </xf>
    <xf numFmtId="43" fontId="23" fillId="0" borderId="35" xfId="0" applyNumberFormat="1" applyFont="1" applyFill="1" applyBorder="1" applyAlignment="1">
      <alignment horizontal="center" vertical="center"/>
    </xf>
    <xf numFmtId="43" fontId="43" fillId="0" borderId="0" xfId="0" applyNumberFormat="1" applyFont="1" applyFill="1" applyAlignment="1">
      <alignment horizontal="center" vertical="center"/>
    </xf>
    <xf numFmtId="0" fontId="23" fillId="0" borderId="22" xfId="0" applyFont="1" applyFill="1" applyBorder="1" applyAlignment="1">
      <alignment horizontal="left" vertical="top" wrapText="1"/>
    </xf>
    <xf numFmtId="165" fontId="40" fillId="0" borderId="36" xfId="0" applyNumberFormat="1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165" fontId="23" fillId="0" borderId="36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40" fontId="23" fillId="0" borderId="0" xfId="0" applyNumberFormat="1" applyFont="1" applyFill="1" applyAlignment="1">
      <alignment horizontal="center" vertical="center"/>
    </xf>
    <xf numFmtId="43" fontId="42" fillId="0" borderId="0" xfId="0" applyNumberFormat="1" applyFont="1" applyFill="1" applyAlignment="1">
      <alignment horizontal="center" vertical="center"/>
    </xf>
    <xf numFmtId="0" fontId="38" fillId="0" borderId="0" xfId="0" applyFont="1" applyAlignment="1">
      <alignment/>
    </xf>
    <xf numFmtId="165" fontId="18" fillId="0" borderId="38" xfId="54" applyFont="1" applyFill="1" applyBorder="1" applyAlignment="1" applyProtection="1">
      <alignment horizontal="center" vertical="center"/>
      <protection/>
    </xf>
    <xf numFmtId="165" fontId="18" fillId="0" borderId="38" xfId="0" applyNumberFormat="1" applyFont="1" applyFill="1" applyBorder="1" applyAlignment="1">
      <alignment horizontal="center"/>
    </xf>
    <xf numFmtId="40" fontId="13" fillId="36" borderId="39" xfId="0" applyNumberFormat="1" applyFont="1" applyFill="1" applyBorder="1" applyAlignment="1">
      <alignment vertical="center"/>
    </xf>
    <xf numFmtId="40" fontId="13" fillId="36" borderId="40" xfId="0" applyNumberFormat="1" applyFont="1" applyFill="1" applyBorder="1" applyAlignment="1">
      <alignment vertical="center"/>
    </xf>
    <xf numFmtId="40" fontId="13" fillId="36" borderId="0" xfId="0" applyNumberFormat="1" applyFont="1" applyFill="1" applyBorder="1" applyAlignment="1">
      <alignment vertical="center"/>
    </xf>
    <xf numFmtId="40" fontId="12" fillId="36" borderId="41" xfId="0" applyNumberFormat="1" applyFont="1" applyFill="1" applyBorder="1" applyAlignment="1">
      <alignment vertical="center"/>
    </xf>
    <xf numFmtId="40" fontId="13" fillId="36" borderId="15" xfId="0" applyNumberFormat="1" applyFont="1" applyFill="1" applyBorder="1" applyAlignment="1">
      <alignment vertical="center"/>
    </xf>
    <xf numFmtId="40" fontId="13" fillId="36" borderId="17" xfId="0" applyNumberFormat="1" applyFont="1" applyFill="1" applyBorder="1" applyAlignment="1">
      <alignment vertical="center"/>
    </xf>
    <xf numFmtId="40" fontId="12" fillId="36" borderId="42" xfId="0" applyNumberFormat="1" applyFont="1" applyFill="1" applyBorder="1" applyAlignment="1">
      <alignment vertical="center"/>
    </xf>
    <xf numFmtId="40" fontId="12" fillId="36" borderId="43" xfId="0" applyNumberFormat="1" applyFont="1" applyFill="1" applyBorder="1" applyAlignment="1">
      <alignment vertical="center"/>
    </xf>
    <xf numFmtId="40" fontId="12" fillId="36" borderId="16" xfId="0" applyNumberFormat="1" applyFont="1" applyFill="1" applyBorder="1" applyAlignment="1">
      <alignment vertical="center"/>
    </xf>
    <xf numFmtId="40" fontId="13" fillId="36" borderId="16" xfId="0" applyNumberFormat="1" applyFont="1" applyFill="1" applyBorder="1" applyAlignment="1">
      <alignment vertical="center"/>
    </xf>
    <xf numFmtId="40" fontId="12" fillId="36" borderId="11" xfId="0" applyNumberFormat="1" applyFont="1" applyFill="1" applyBorder="1" applyAlignment="1">
      <alignment vertical="center"/>
    </xf>
    <xf numFmtId="40" fontId="12" fillId="36" borderId="10" xfId="0" applyNumberFormat="1" applyFont="1" applyFill="1" applyBorder="1" applyAlignment="1">
      <alignment vertical="center"/>
    </xf>
    <xf numFmtId="40" fontId="12" fillId="36" borderId="42" xfId="54" applyNumberFormat="1" applyFont="1" applyFill="1" applyBorder="1" applyAlignment="1" applyProtection="1">
      <alignment horizontal="right" vertical="center"/>
      <protection/>
    </xf>
    <xf numFmtId="40" fontId="12" fillId="36" borderId="44" xfId="54" applyNumberFormat="1" applyFont="1" applyFill="1" applyBorder="1" applyAlignment="1" applyProtection="1">
      <alignment horizontal="right" vertical="center"/>
      <protection/>
    </xf>
    <xf numFmtId="40" fontId="12" fillId="36" borderId="29" xfId="0" applyNumberFormat="1" applyFont="1" applyFill="1" applyBorder="1" applyAlignment="1">
      <alignment vertical="center"/>
    </xf>
    <xf numFmtId="40" fontId="12" fillId="36" borderId="30" xfId="0" applyNumberFormat="1" applyFont="1" applyFill="1" applyBorder="1" applyAlignment="1">
      <alignment vertical="center"/>
    </xf>
    <xf numFmtId="40" fontId="12" fillId="36" borderId="43" xfId="54" applyNumberFormat="1" applyFont="1" applyFill="1" applyBorder="1" applyAlignment="1" applyProtection="1">
      <alignment horizontal="right" vertical="center"/>
      <protection/>
    </xf>
    <xf numFmtId="40" fontId="12" fillId="36" borderId="29" xfId="54" applyNumberFormat="1" applyFont="1" applyFill="1" applyBorder="1" applyAlignment="1" applyProtection="1">
      <alignment horizontal="right" vertical="center"/>
      <protection/>
    </xf>
    <xf numFmtId="40" fontId="12" fillId="36" borderId="30" xfId="54" applyNumberFormat="1" applyFont="1" applyFill="1" applyBorder="1" applyAlignment="1" applyProtection="1">
      <alignment horizontal="right" vertical="center"/>
      <protection/>
    </xf>
    <xf numFmtId="40" fontId="13" fillId="36" borderId="16" xfId="54" applyNumberFormat="1" applyFont="1" applyFill="1" applyBorder="1" applyAlignment="1" applyProtection="1">
      <alignment horizontal="right" vertical="center"/>
      <protection/>
    </xf>
    <xf numFmtId="40" fontId="13" fillId="36" borderId="45" xfId="0" applyNumberFormat="1" applyFont="1" applyFill="1" applyBorder="1" applyAlignment="1">
      <alignment vertical="center"/>
    </xf>
    <xf numFmtId="40" fontId="12" fillId="36" borderId="46" xfId="0" applyNumberFormat="1" applyFont="1" applyFill="1" applyBorder="1" applyAlignment="1">
      <alignment vertical="center"/>
    </xf>
    <xf numFmtId="40" fontId="12" fillId="36" borderId="15" xfId="0" applyNumberFormat="1" applyFont="1" applyFill="1" applyBorder="1" applyAlignment="1">
      <alignment vertical="center"/>
    </xf>
    <xf numFmtId="43" fontId="2" fillId="0" borderId="0" xfId="0" applyNumberFormat="1" applyFont="1" applyFill="1" applyAlignment="1">
      <alignment horizontal="center"/>
    </xf>
    <xf numFmtId="164" fontId="3" fillId="36" borderId="16" xfId="54" applyNumberFormat="1" applyFont="1" applyFill="1" applyBorder="1" applyAlignment="1" applyProtection="1">
      <alignment vertical="center"/>
      <protection/>
    </xf>
    <xf numFmtId="165" fontId="4" fillId="36" borderId="15" xfId="54" applyFont="1" applyFill="1" applyBorder="1" applyAlignment="1" applyProtection="1">
      <alignment vertical="center"/>
      <protection/>
    </xf>
    <xf numFmtId="165" fontId="4" fillId="36" borderId="20" xfId="54" applyFont="1" applyFill="1" applyBorder="1" applyAlignment="1" applyProtection="1">
      <alignment/>
      <protection/>
    </xf>
    <xf numFmtId="165" fontId="4" fillId="36" borderId="11" xfId="54" applyFont="1" applyFill="1" applyBorder="1" applyAlignment="1" applyProtection="1">
      <alignment vertical="center"/>
      <protection/>
    </xf>
    <xf numFmtId="165" fontId="4" fillId="36" borderId="16" xfId="54" applyFont="1" applyFill="1" applyBorder="1" applyAlignment="1" applyProtection="1">
      <alignment vertical="center"/>
      <protection/>
    </xf>
    <xf numFmtId="164" fontId="3" fillId="36" borderId="18" xfId="54" applyNumberFormat="1" applyFont="1" applyFill="1" applyBorder="1" applyAlignment="1" applyProtection="1">
      <alignment vertical="center"/>
      <protection/>
    </xf>
    <xf numFmtId="165" fontId="3" fillId="36" borderId="15" xfId="54" applyFont="1" applyFill="1" applyBorder="1" applyAlignment="1" applyProtection="1">
      <alignment vertical="center"/>
      <protection/>
    </xf>
    <xf numFmtId="165" fontId="3" fillId="36" borderId="16" xfId="54" applyFont="1" applyFill="1" applyBorder="1" applyAlignment="1" applyProtection="1">
      <alignment vertical="center"/>
      <protection/>
    </xf>
    <xf numFmtId="165" fontId="3" fillId="36" borderId="18" xfId="54" applyFont="1" applyFill="1" applyBorder="1" applyAlignment="1" applyProtection="1">
      <alignment vertical="center"/>
      <protection/>
    </xf>
    <xf numFmtId="165" fontId="97" fillId="0" borderId="0" xfId="54" applyFont="1" applyFill="1" applyBorder="1" applyAlignment="1" applyProtection="1">
      <alignment horizontal="center" vertical="center"/>
      <protection/>
    </xf>
    <xf numFmtId="165" fontId="98" fillId="0" borderId="0" xfId="54" applyFont="1" applyFill="1" applyBorder="1" applyAlignment="1" applyProtection="1">
      <alignment vertical="center"/>
      <protection/>
    </xf>
    <xf numFmtId="165" fontId="23" fillId="36" borderId="11" xfId="54" applyFont="1" applyFill="1" applyBorder="1" applyAlignment="1" applyProtection="1">
      <alignment horizontal="center" vertical="center"/>
      <protection/>
    </xf>
    <xf numFmtId="2" fontId="18" fillId="36" borderId="0" xfId="0" applyNumberFormat="1" applyFont="1" applyFill="1" applyBorder="1" applyAlignment="1">
      <alignment/>
    </xf>
    <xf numFmtId="0" fontId="18" fillId="36" borderId="0" xfId="0" applyFont="1" applyFill="1" applyAlignment="1">
      <alignment/>
    </xf>
    <xf numFmtId="165" fontId="18" fillId="36" borderId="16" xfId="54" applyFont="1" applyFill="1" applyBorder="1" applyAlignment="1" applyProtection="1">
      <alignment horizontal="center" vertical="center"/>
      <protection/>
    </xf>
    <xf numFmtId="165" fontId="23" fillId="36" borderId="20" xfId="54" applyFont="1" applyFill="1" applyBorder="1" applyAlignment="1" applyProtection="1">
      <alignment horizontal="right" vertical="center"/>
      <protection/>
    </xf>
    <xf numFmtId="165" fontId="18" fillId="36" borderId="0" xfId="0" applyNumberFormat="1" applyFont="1" applyFill="1" applyAlignment="1">
      <alignment/>
    </xf>
    <xf numFmtId="3" fontId="26" fillId="0" borderId="21" xfId="48" applyNumberFormat="1" applyFont="1" applyFill="1" applyBorder="1" applyAlignment="1">
      <alignment horizontal="left" vertical="center" indent="1"/>
      <protection/>
    </xf>
    <xf numFmtId="43" fontId="7" fillId="0" borderId="0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 horizontal="left" vertical="center" indent="1"/>
    </xf>
    <xf numFmtId="43" fontId="18" fillId="0" borderId="0" xfId="0" applyNumberFormat="1" applyFont="1" applyFill="1" applyAlignment="1">
      <alignment/>
    </xf>
    <xf numFmtId="165" fontId="18" fillId="0" borderId="0" xfId="0" applyNumberFormat="1" applyFont="1" applyFill="1" applyBorder="1" applyAlignment="1">
      <alignment/>
    </xf>
    <xf numFmtId="49" fontId="3" fillId="0" borderId="47" xfId="0" applyNumberFormat="1" applyFont="1" applyFill="1" applyBorder="1" applyAlignment="1">
      <alignment horizontal="center" vertical="center"/>
    </xf>
    <xf numFmtId="43" fontId="18" fillId="0" borderId="0" xfId="48" applyNumberFormat="1" applyFont="1" applyAlignment="1">
      <alignment horizontal="center" vertical="center"/>
      <protection/>
    </xf>
    <xf numFmtId="43" fontId="18" fillId="0" borderId="0" xfId="0" applyNumberFormat="1" applyFont="1" applyAlignment="1">
      <alignment horizontal="center" vertical="center"/>
    </xf>
    <xf numFmtId="165" fontId="0" fillId="0" borderId="0" xfId="54" applyAlignment="1">
      <alignment horizontal="center" vertical="center"/>
    </xf>
    <xf numFmtId="165" fontId="18" fillId="0" borderId="0" xfId="48" applyNumberFormat="1" applyFont="1" applyAlignment="1">
      <alignment horizontal="center" vertical="center"/>
      <protection/>
    </xf>
    <xf numFmtId="164" fontId="18" fillId="0" borderId="0" xfId="0" applyNumberFormat="1" applyFont="1" applyFill="1" applyBorder="1" applyAlignment="1">
      <alignment/>
    </xf>
    <xf numFmtId="43" fontId="13" fillId="0" borderId="0" xfId="0" applyNumberFormat="1" applyFont="1" applyFill="1" applyBorder="1" applyAlignment="1">
      <alignment horizontal="center" vertical="center"/>
    </xf>
    <xf numFmtId="165" fontId="3" fillId="0" borderId="0" xfId="54" applyFont="1" applyFill="1" applyBorder="1" applyAlignment="1" applyProtection="1">
      <alignment vertical="center"/>
      <protection/>
    </xf>
    <xf numFmtId="165" fontId="11" fillId="0" borderId="0" xfId="54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left" vertical="center"/>
    </xf>
    <xf numFmtId="43" fontId="7" fillId="0" borderId="0" xfId="0" applyNumberFormat="1" applyFont="1" applyBorder="1" applyAlignment="1">
      <alignment/>
    </xf>
    <xf numFmtId="165" fontId="4" fillId="0" borderId="41" xfId="54" applyFont="1" applyFill="1" applyBorder="1" applyAlignment="1" applyProtection="1">
      <alignment vertical="center"/>
      <protection/>
    </xf>
    <xf numFmtId="177" fontId="13" fillId="0" borderId="0" xfId="0" applyNumberFormat="1" applyFont="1" applyFill="1" applyAlignment="1">
      <alignment vertical="center"/>
    </xf>
    <xf numFmtId="40" fontId="13" fillId="0" borderId="38" xfId="0" applyNumberFormat="1" applyFont="1" applyFill="1" applyBorder="1" applyAlignment="1">
      <alignment vertical="center"/>
    </xf>
    <xf numFmtId="165" fontId="18" fillId="0" borderId="16" xfId="0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/>
    </xf>
    <xf numFmtId="43" fontId="2" fillId="0" borderId="0" xfId="0" applyNumberFormat="1" applyFont="1" applyBorder="1" applyAlignment="1">
      <alignment/>
    </xf>
    <xf numFmtId="165" fontId="26" fillId="0" borderId="46" xfId="57" applyFont="1" applyFill="1" applyBorder="1" applyAlignment="1" applyProtection="1">
      <alignment horizontal="right" vertical="center"/>
      <protection/>
    </xf>
    <xf numFmtId="165" fontId="0" fillId="0" borderId="0" xfId="59" applyNumberFormat="1" applyFill="1" applyAlignment="1">
      <alignment horizontal="center" vertical="center"/>
    </xf>
    <xf numFmtId="165" fontId="18" fillId="0" borderId="0" xfId="59" applyNumberFormat="1" applyFont="1" applyFill="1" applyBorder="1" applyAlignment="1" applyProtection="1">
      <alignment horizontal="center" vertical="center"/>
      <protection/>
    </xf>
    <xf numFmtId="165" fontId="0" fillId="0" borderId="0" xfId="59" applyNumberFormat="1" applyFill="1" applyBorder="1" applyAlignment="1">
      <alignment horizontal="center" vertical="center"/>
    </xf>
    <xf numFmtId="165" fontId="18" fillId="0" borderId="0" xfId="59" applyNumberFormat="1" applyFont="1" applyFill="1" applyBorder="1" applyAlignment="1" applyProtection="1">
      <alignment/>
      <protection/>
    </xf>
    <xf numFmtId="165" fontId="18" fillId="0" borderId="0" xfId="59" applyNumberFormat="1" applyFont="1" applyFill="1" applyBorder="1" applyAlignment="1" applyProtection="1">
      <alignment horizontal="left" vertical="center"/>
      <protection/>
    </xf>
    <xf numFmtId="165" fontId="2" fillId="0" borderId="0" xfId="59" applyNumberFormat="1" applyFont="1" applyFill="1" applyAlignment="1">
      <alignment horizontal="center" vertical="center"/>
    </xf>
    <xf numFmtId="165" fontId="44" fillId="0" borderId="0" xfId="59" applyNumberFormat="1" applyFont="1" applyFill="1" applyAlignment="1">
      <alignment horizontal="center" vertical="center"/>
    </xf>
    <xf numFmtId="165" fontId="0" fillId="0" borderId="0" xfId="59" applyNumberFormat="1" applyFont="1" applyFill="1" applyAlignment="1">
      <alignment horizontal="center" vertical="center"/>
    </xf>
    <xf numFmtId="165" fontId="2" fillId="0" borderId="48" xfId="59" applyNumberFormat="1" applyFont="1" applyFill="1" applyBorder="1" applyAlignment="1">
      <alignment horizontal="center" vertical="center"/>
    </xf>
    <xf numFmtId="165" fontId="11" fillId="0" borderId="0" xfId="59" applyNumberFormat="1" applyFont="1" applyFill="1" applyAlignment="1">
      <alignment horizontal="center" vertical="center"/>
    </xf>
    <xf numFmtId="165" fontId="23" fillId="0" borderId="0" xfId="59" applyNumberFormat="1" applyFont="1" applyFill="1" applyBorder="1" applyAlignment="1" applyProtection="1">
      <alignment horizontal="center" vertical="center"/>
      <protection/>
    </xf>
    <xf numFmtId="165" fontId="7" fillId="0" borderId="48" xfId="59" applyNumberFormat="1" applyFont="1" applyFill="1" applyBorder="1" applyAlignment="1">
      <alignment horizontal="center" vertical="center"/>
    </xf>
    <xf numFmtId="165" fontId="41" fillId="0" borderId="48" xfId="59" applyNumberFormat="1" applyFont="1" applyFill="1" applyBorder="1" applyAlignment="1">
      <alignment horizontal="center" vertical="center"/>
    </xf>
    <xf numFmtId="165" fontId="45" fillId="0" borderId="0" xfId="59" applyNumberFormat="1" applyFont="1" applyFill="1" applyBorder="1" applyAlignment="1">
      <alignment horizontal="center" vertical="center"/>
    </xf>
    <xf numFmtId="165" fontId="0" fillId="0" borderId="0" xfId="59" applyNumberFormat="1" applyFont="1" applyFill="1" applyBorder="1" applyAlignment="1">
      <alignment horizontal="center" vertical="center"/>
    </xf>
    <xf numFmtId="165" fontId="2" fillId="0" borderId="0" xfId="59" applyNumberFormat="1" applyFont="1" applyFill="1" applyBorder="1" applyAlignment="1">
      <alignment horizontal="right" vertical="center"/>
    </xf>
    <xf numFmtId="165" fontId="0" fillId="0" borderId="0" xfId="59" applyNumberFormat="1" applyFont="1" applyFill="1" applyBorder="1" applyAlignment="1" applyProtection="1">
      <alignment horizontal="center" vertical="center"/>
      <protection/>
    </xf>
    <xf numFmtId="165" fontId="46" fillId="0" borderId="0" xfId="59" applyNumberFormat="1" applyFont="1" applyFill="1" applyAlignment="1">
      <alignment horizontal="center" vertical="center"/>
    </xf>
    <xf numFmtId="165" fontId="18" fillId="0" borderId="15" xfId="59" applyNumberFormat="1" applyFont="1" applyFill="1" applyBorder="1" applyAlignment="1" applyProtection="1">
      <alignment horizontal="left" vertical="center" wrapText="1"/>
      <protection/>
    </xf>
    <xf numFmtId="165" fontId="18" fillId="0" borderId="0" xfId="59" applyNumberFormat="1" applyFont="1" applyFill="1" applyBorder="1" applyAlignment="1" applyProtection="1">
      <alignment horizontal="center" vertical="top" wrapText="1"/>
      <protection/>
    </xf>
    <xf numFmtId="165" fontId="23" fillId="0" borderId="0" xfId="59" applyNumberFormat="1" applyFont="1" applyFill="1" applyBorder="1" applyAlignment="1" applyProtection="1">
      <alignment horizontal="left" vertical="center" wrapText="1"/>
      <protection/>
    </xf>
    <xf numFmtId="165" fontId="18" fillId="0" borderId="0" xfId="59" applyNumberFormat="1" applyFont="1" applyFill="1" applyBorder="1" applyAlignment="1" applyProtection="1">
      <alignment horizontal="left" vertical="center" wrapText="1"/>
      <protection/>
    </xf>
    <xf numFmtId="165" fontId="50" fillId="0" borderId="0" xfId="0" applyNumberFormat="1" applyFont="1" applyFill="1" applyAlignment="1">
      <alignment horizontal="center" vertical="center"/>
    </xf>
    <xf numFmtId="43" fontId="23" fillId="0" borderId="0" xfId="0" applyNumberFormat="1" applyFont="1" applyFill="1" applyBorder="1" applyAlignment="1">
      <alignment horizontal="center" vertical="center"/>
    </xf>
    <xf numFmtId="43" fontId="49" fillId="0" borderId="0" xfId="0" applyNumberFormat="1" applyFont="1" applyFill="1" applyBorder="1" applyAlignment="1">
      <alignment horizontal="center" vertical="center"/>
    </xf>
    <xf numFmtId="165" fontId="0" fillId="0" borderId="49" xfId="59" applyNumberFormat="1" applyFont="1" applyFill="1" applyBorder="1" applyAlignment="1">
      <alignment horizontal="center" vertical="center"/>
    </xf>
    <xf numFmtId="165" fontId="0" fillId="0" borderId="0" xfId="59" applyNumberFormat="1" applyFont="1" applyFill="1" applyAlignment="1">
      <alignment horizontal="right" vertical="center"/>
    </xf>
    <xf numFmtId="165" fontId="2" fillId="0" borderId="0" xfId="59" applyNumberFormat="1" applyFont="1" applyFill="1" applyAlignment="1">
      <alignment horizontal="right" vertical="center"/>
    </xf>
    <xf numFmtId="165" fontId="23" fillId="0" borderId="22" xfId="59" applyNumberFormat="1" applyFont="1" applyFill="1" applyBorder="1" applyAlignment="1" applyProtection="1">
      <alignment horizontal="left" vertical="center" wrapText="1"/>
      <protection/>
    </xf>
    <xf numFmtId="165" fontId="23" fillId="0" borderId="10" xfId="59" applyNumberFormat="1" applyFont="1" applyFill="1" applyBorder="1" applyAlignment="1" applyProtection="1">
      <alignment horizontal="left" vertical="center" wrapText="1"/>
      <protection/>
    </xf>
    <xf numFmtId="165" fontId="33" fillId="0" borderId="0" xfId="59" applyNumberFormat="1" applyFont="1" applyFill="1" applyAlignment="1">
      <alignment horizontal="right" vertical="center"/>
    </xf>
    <xf numFmtId="165" fontId="44" fillId="0" borderId="0" xfId="59" applyNumberFormat="1" applyFont="1" applyFill="1" applyAlignment="1">
      <alignment horizontal="right" vertical="center"/>
    </xf>
    <xf numFmtId="165" fontId="23" fillId="0" borderId="0" xfId="59" applyNumberFormat="1" applyFont="1" applyFill="1" applyBorder="1" applyAlignment="1" applyProtection="1">
      <alignment horizontal="left" vertical="top" wrapText="1"/>
      <protection/>
    </xf>
    <xf numFmtId="0" fontId="18" fillId="0" borderId="23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center" vertical="center" wrapText="1"/>
    </xf>
    <xf numFmtId="165" fontId="0" fillId="0" borderId="0" xfId="59" applyNumberFormat="1" applyFill="1" applyAlignment="1">
      <alignment/>
    </xf>
    <xf numFmtId="165" fontId="19" fillId="0" borderId="0" xfId="59" applyNumberFormat="1" applyFont="1" applyFill="1" applyBorder="1" applyAlignment="1" applyProtection="1">
      <alignment/>
      <protection/>
    </xf>
    <xf numFmtId="165" fontId="26" fillId="0" borderId="0" xfId="59" applyNumberFormat="1" applyFont="1" applyFill="1" applyBorder="1" applyAlignment="1" applyProtection="1">
      <alignment horizontal="center" vertical="center"/>
      <protection/>
    </xf>
    <xf numFmtId="165" fontId="18" fillId="0" borderId="16" xfId="59" applyNumberFormat="1" applyFont="1" applyFill="1" applyBorder="1" applyAlignment="1" applyProtection="1">
      <alignment horizontal="center" vertical="center"/>
      <protection/>
    </xf>
    <xf numFmtId="165" fontId="18" fillId="0" borderId="16" xfId="59" applyNumberFormat="1" applyFont="1" applyFill="1" applyBorder="1" applyAlignment="1" applyProtection="1">
      <alignment horizontal="right" vertical="center"/>
      <protection/>
    </xf>
    <xf numFmtId="165" fontId="2" fillId="0" borderId="0" xfId="59" applyNumberFormat="1" applyFont="1" applyFill="1" applyAlignment="1">
      <alignment/>
    </xf>
    <xf numFmtId="165" fontId="32" fillId="0" borderId="0" xfId="59" applyNumberFormat="1" applyFont="1" applyFill="1" applyAlignment="1">
      <alignment/>
    </xf>
    <xf numFmtId="165" fontId="0" fillId="0" borderId="15" xfId="59" applyNumberFormat="1" applyFill="1" applyBorder="1" applyAlignment="1" applyProtection="1">
      <alignment horizontal="center" vertical="center"/>
      <protection/>
    </xf>
    <xf numFmtId="165" fontId="0" fillId="0" borderId="0" xfId="59" applyNumberFormat="1" applyFill="1" applyBorder="1" applyAlignment="1">
      <alignment horizontal="left" vertical="center" indent="1"/>
    </xf>
    <xf numFmtId="165" fontId="18" fillId="0" borderId="0" xfId="59" applyNumberFormat="1" applyFont="1" applyFill="1" applyBorder="1" applyAlignment="1" applyProtection="1">
      <alignment horizontal="left" vertical="center" indent="1"/>
      <protection/>
    </xf>
    <xf numFmtId="165" fontId="18" fillId="0" borderId="0" xfId="59" applyNumberFormat="1" applyFont="1" applyFill="1" applyBorder="1" applyAlignment="1" applyProtection="1">
      <alignment horizontal="right" vertical="center"/>
      <protection/>
    </xf>
    <xf numFmtId="165" fontId="18" fillId="0" borderId="0" xfId="59" applyNumberFormat="1" applyFont="1" applyFill="1" applyBorder="1" applyAlignment="1" applyProtection="1">
      <alignment horizontal="right" vertical="center" wrapText="1"/>
      <protection/>
    </xf>
    <xf numFmtId="165" fontId="2" fillId="0" borderId="0" xfId="59" applyNumberFormat="1" applyFont="1" applyFill="1" applyBorder="1" applyAlignment="1">
      <alignment horizontal="left" vertical="center" indent="1"/>
    </xf>
    <xf numFmtId="165" fontId="23" fillId="0" borderId="0" xfId="59" applyNumberFormat="1" applyFont="1" applyFill="1" applyBorder="1" applyAlignment="1" applyProtection="1">
      <alignment horizontal="right" vertical="center"/>
      <protection/>
    </xf>
    <xf numFmtId="165" fontId="23" fillId="0" borderId="19" xfId="59" applyNumberFormat="1" applyFont="1" applyFill="1" applyBorder="1" applyAlignment="1" applyProtection="1">
      <alignment horizontal="right" vertical="center" wrapText="1"/>
      <protection/>
    </xf>
    <xf numFmtId="165" fontId="0" fillId="0" borderId="0" xfId="59" applyNumberFormat="1" applyFill="1" applyAlignment="1">
      <alignment horizontal="left" vertical="center" indent="1"/>
    </xf>
    <xf numFmtId="165" fontId="2" fillId="0" borderId="0" xfId="59" applyNumberFormat="1" applyFont="1" applyFill="1" applyAlignment="1">
      <alignment horizontal="left" vertical="center" indent="1"/>
    </xf>
    <xf numFmtId="165" fontId="18" fillId="0" borderId="15" xfId="59" applyNumberFormat="1" applyFont="1" applyFill="1" applyBorder="1" applyAlignment="1" applyProtection="1">
      <alignment horizontal="right" vertical="center" wrapText="1"/>
      <protection/>
    </xf>
    <xf numFmtId="165" fontId="2" fillId="0" borderId="0" xfId="59" applyNumberFormat="1" applyFont="1" applyFill="1" applyAlignment="1">
      <alignment horizontal="left" vertical="center" indent="2"/>
    </xf>
    <xf numFmtId="165" fontId="7" fillId="0" borderId="0" xfId="59" applyNumberFormat="1" applyFont="1" applyFill="1" applyAlignment="1">
      <alignment horizontal="left" vertical="center" indent="1"/>
    </xf>
    <xf numFmtId="165" fontId="23" fillId="0" borderId="15" xfId="59" applyNumberFormat="1" applyFont="1" applyFill="1" applyBorder="1" applyAlignment="1" applyProtection="1">
      <alignment horizontal="right" vertical="center" wrapText="1"/>
      <protection/>
    </xf>
    <xf numFmtId="165" fontId="23" fillId="0" borderId="0" xfId="59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>
      <alignment horizontal="left" vertical="center" indent="1"/>
    </xf>
    <xf numFmtId="9" fontId="39" fillId="0" borderId="0" xfId="0" applyNumberFormat="1" applyFont="1" applyFill="1" applyBorder="1" applyAlignment="1">
      <alignment horizontal="left" vertical="center" indent="1"/>
    </xf>
    <xf numFmtId="165" fontId="23" fillId="0" borderId="21" xfId="59" applyNumberFormat="1" applyFont="1" applyFill="1" applyBorder="1" applyAlignment="1" applyProtection="1">
      <alignment horizontal="right" vertical="center" wrapText="1"/>
      <protection/>
    </xf>
    <xf numFmtId="0" fontId="18" fillId="0" borderId="18" xfId="0" applyFont="1" applyFill="1" applyBorder="1" applyAlignment="1">
      <alignment horizontal="center" vertical="top" wrapText="1"/>
    </xf>
    <xf numFmtId="165" fontId="0" fillId="0" borderId="0" xfId="59" applyNumberFormat="1" applyFont="1" applyFill="1" applyAlignment="1">
      <alignment/>
    </xf>
    <xf numFmtId="165" fontId="7" fillId="0" borderId="15" xfId="59" applyNumberFormat="1" applyFont="1" applyFill="1" applyBorder="1" applyAlignment="1" applyProtection="1">
      <alignment horizontal="right" vertical="center" wrapText="1"/>
      <protection/>
    </xf>
    <xf numFmtId="43" fontId="39" fillId="0" borderId="0" xfId="0" applyNumberFormat="1" applyFont="1" applyFill="1" applyAlignment="1">
      <alignment horizontal="left" vertical="center" indent="1"/>
    </xf>
    <xf numFmtId="165" fontId="0" fillId="0" borderId="0" xfId="59" applyNumberFormat="1" applyFill="1" applyAlignment="1">
      <alignment horizontal="right" vertical="center" indent="1"/>
    </xf>
    <xf numFmtId="165" fontId="18" fillId="0" borderId="0" xfId="59" applyNumberFormat="1" applyFont="1" applyFill="1" applyBorder="1" applyAlignment="1" applyProtection="1">
      <alignment horizontal="center" vertical="center" wrapText="1"/>
      <protection/>
    </xf>
    <xf numFmtId="165" fontId="13" fillId="0" borderId="0" xfId="59" applyNumberFormat="1" applyFont="1" applyFill="1" applyBorder="1" applyAlignment="1" applyProtection="1">
      <alignment/>
      <protection/>
    </xf>
    <xf numFmtId="165" fontId="19" fillId="0" borderId="0" xfId="59" applyNumberFormat="1" applyFont="1" applyFill="1" applyBorder="1" applyAlignment="1" applyProtection="1">
      <alignment horizontal="left" indent="7"/>
      <protection/>
    </xf>
    <xf numFmtId="165" fontId="2" fillId="0" borderId="0" xfId="59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vertical="top" wrapText="1"/>
    </xf>
    <xf numFmtId="43" fontId="18" fillId="36" borderId="14" xfId="0" applyNumberFormat="1" applyFont="1" applyFill="1" applyBorder="1" applyAlignment="1">
      <alignment vertical="top" wrapText="1"/>
    </xf>
    <xf numFmtId="43" fontId="18" fillId="36" borderId="22" xfId="0" applyNumberFormat="1" applyFont="1" applyFill="1" applyBorder="1" applyAlignment="1">
      <alignment vertical="top" wrapText="1"/>
    </xf>
    <xf numFmtId="165" fontId="18" fillId="36" borderId="15" xfId="59" applyNumberFormat="1" applyFont="1" applyFill="1" applyBorder="1" applyAlignment="1" applyProtection="1">
      <alignment horizontal="left" vertical="center" wrapText="1"/>
      <protection/>
    </xf>
    <xf numFmtId="165" fontId="18" fillId="36" borderId="16" xfId="59" applyNumberFormat="1" applyFont="1" applyFill="1" applyBorder="1" applyAlignment="1" applyProtection="1">
      <alignment horizontal="right" vertical="center"/>
      <protection/>
    </xf>
    <xf numFmtId="165" fontId="23" fillId="36" borderId="15" xfId="59" applyNumberFormat="1" applyFont="1" applyFill="1" applyBorder="1" applyAlignment="1" applyProtection="1">
      <alignment horizontal="left" vertical="center" wrapText="1"/>
      <protection/>
    </xf>
    <xf numFmtId="165" fontId="23" fillId="36" borderId="21" xfId="59" applyNumberFormat="1" applyFont="1" applyFill="1" applyBorder="1" applyAlignment="1" applyProtection="1">
      <alignment horizontal="left" vertical="center" wrapText="1"/>
      <protection/>
    </xf>
    <xf numFmtId="165" fontId="18" fillId="36" borderId="16" xfId="59" applyNumberFormat="1" applyFont="1" applyFill="1" applyBorder="1" applyAlignment="1" applyProtection="1">
      <alignment horizontal="left" vertical="center" wrapText="1"/>
      <protection/>
    </xf>
    <xf numFmtId="165" fontId="23" fillId="36" borderId="0" xfId="59" applyNumberFormat="1" applyFont="1" applyFill="1" applyBorder="1" applyAlignment="1" applyProtection="1">
      <alignment horizontal="left" vertical="center" wrapText="1"/>
      <protection/>
    </xf>
    <xf numFmtId="165" fontId="23" fillId="36" borderId="19" xfId="59" applyNumberFormat="1" applyFont="1" applyFill="1" applyBorder="1" applyAlignment="1" applyProtection="1">
      <alignment horizontal="center" vertical="center" wrapText="1"/>
      <protection/>
    </xf>
    <xf numFmtId="165" fontId="23" fillId="36" borderId="20" xfId="59" applyNumberFormat="1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>
      <alignment horizontal="center" wrapText="1"/>
    </xf>
    <xf numFmtId="0" fontId="18" fillId="36" borderId="17" xfId="0" applyFont="1" applyFill="1" applyBorder="1" applyAlignment="1">
      <alignment horizontal="center" vertical="top" wrapText="1"/>
    </xf>
    <xf numFmtId="165" fontId="23" fillId="36" borderId="15" xfId="59" applyNumberFormat="1" applyFont="1" applyFill="1" applyBorder="1" applyAlignment="1" applyProtection="1">
      <alignment horizontal="center" vertical="center"/>
      <protection/>
    </xf>
    <xf numFmtId="165" fontId="18" fillId="36" borderId="15" xfId="59" applyNumberFormat="1" applyFont="1" applyFill="1" applyBorder="1" applyAlignment="1" applyProtection="1">
      <alignment horizontal="center" vertical="center"/>
      <protection/>
    </xf>
    <xf numFmtId="165" fontId="23" fillId="36" borderId="26" xfId="59" applyNumberFormat="1" applyFont="1" applyFill="1" applyBorder="1" applyAlignment="1" applyProtection="1">
      <alignment horizontal="right" vertical="center" wrapText="1"/>
      <protection/>
    </xf>
    <xf numFmtId="165" fontId="18" fillId="36" borderId="15" xfId="59" applyNumberFormat="1" applyFont="1" applyFill="1" applyBorder="1" applyAlignment="1" applyProtection="1">
      <alignment horizontal="right" vertical="center" wrapText="1"/>
      <protection/>
    </xf>
    <xf numFmtId="165" fontId="18" fillId="36" borderId="26" xfId="59" applyNumberFormat="1" applyFont="1" applyFill="1" applyBorder="1" applyAlignment="1" applyProtection="1">
      <alignment horizontal="right" vertical="center" wrapText="1"/>
      <protection/>
    </xf>
    <xf numFmtId="165" fontId="23" fillId="36" borderId="15" xfId="59" applyNumberFormat="1" applyFont="1" applyFill="1" applyBorder="1" applyAlignment="1" applyProtection="1">
      <alignment horizontal="right" vertical="center" wrapText="1"/>
      <protection/>
    </xf>
    <xf numFmtId="165" fontId="7" fillId="36" borderId="15" xfId="59" applyNumberFormat="1" applyFont="1" applyFill="1" applyBorder="1" applyAlignment="1" applyProtection="1">
      <alignment horizontal="center" vertical="center"/>
      <protection/>
    </xf>
    <xf numFmtId="165" fontId="23" fillId="36" borderId="39" xfId="59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right" indent="7"/>
    </xf>
    <xf numFmtId="43" fontId="19" fillId="0" borderId="0" xfId="0" applyNumberFormat="1" applyFont="1" applyFill="1" applyAlignment="1">
      <alignment/>
    </xf>
    <xf numFmtId="40" fontId="12" fillId="0" borderId="41" xfId="0" applyNumberFormat="1" applyFont="1" applyFill="1" applyBorder="1" applyAlignment="1">
      <alignment/>
    </xf>
    <xf numFmtId="43" fontId="4" fillId="0" borderId="15" xfId="54" applyNumberFormat="1" applyFont="1" applyFill="1" applyBorder="1" applyAlignment="1" applyProtection="1">
      <alignment horizontal="right" vertical="center"/>
      <protection/>
    </xf>
    <xf numFmtId="165" fontId="4" fillId="0" borderId="14" xfId="54" applyFont="1" applyFill="1" applyBorder="1" applyAlignment="1" applyProtection="1">
      <alignment horizontal="left" vertical="center"/>
      <protection/>
    </xf>
    <xf numFmtId="43" fontId="18" fillId="0" borderId="0" xfId="0" applyNumberFormat="1" applyFont="1" applyFill="1" applyBorder="1" applyAlignment="1">
      <alignment horizontal="right" vertical="center"/>
    </xf>
    <xf numFmtId="165" fontId="0" fillId="0" borderId="0" xfId="54" applyFont="1" applyFill="1" applyBorder="1" applyAlignment="1">
      <alignment/>
    </xf>
    <xf numFmtId="43" fontId="18" fillId="0" borderId="0" xfId="0" applyNumberFormat="1" applyFont="1" applyFill="1" applyBorder="1" applyAlignment="1">
      <alignment horizontal="left" vertical="center" indent="1"/>
    </xf>
    <xf numFmtId="165" fontId="23" fillId="0" borderId="24" xfId="0" applyNumberFormat="1" applyFont="1" applyFill="1" applyBorder="1" applyAlignment="1">
      <alignment horizontal="left" vertical="center" wrapText="1"/>
    </xf>
    <xf numFmtId="165" fontId="10" fillId="0" borderId="16" xfId="54" applyFont="1" applyFill="1" applyBorder="1" applyAlignment="1" applyProtection="1">
      <alignment horizontal="right" vertical="center"/>
      <protection/>
    </xf>
    <xf numFmtId="0" fontId="23" fillId="34" borderId="0" xfId="48" applyFont="1" applyFill="1" applyAlignment="1">
      <alignment horizontal="center" vertical="center"/>
      <protection/>
    </xf>
    <xf numFmtId="165" fontId="18" fillId="0" borderId="0" xfId="0" applyNumberFormat="1" applyFont="1" applyAlignment="1">
      <alignment/>
    </xf>
    <xf numFmtId="4" fontId="7" fillId="0" borderId="0" xfId="0" applyNumberFormat="1" applyFont="1" applyFill="1" applyAlignment="1">
      <alignment horizontal="center"/>
    </xf>
    <xf numFmtId="165" fontId="51" fillId="0" borderId="0" xfId="54" applyFont="1" applyFill="1" applyAlignment="1">
      <alignment horizontal="center"/>
    </xf>
    <xf numFmtId="164" fontId="52" fillId="0" borderId="0" xfId="0" applyNumberFormat="1" applyFont="1" applyFill="1" applyBorder="1" applyAlignment="1">
      <alignment/>
    </xf>
    <xf numFmtId="165" fontId="4" fillId="0" borderId="16" xfId="54" applyFont="1" applyFill="1" applyBorder="1" applyAlignment="1" applyProtection="1">
      <alignment horizontal="right" vertical="center" wrapText="1"/>
      <protection/>
    </xf>
    <xf numFmtId="43" fontId="4" fillId="0" borderId="15" xfId="54" applyNumberFormat="1" applyFont="1" applyFill="1" applyBorder="1" applyAlignment="1" applyProtection="1">
      <alignment horizontal="left" vertical="center"/>
      <protection/>
    </xf>
    <xf numFmtId="165" fontId="4" fillId="0" borderId="18" xfId="54" applyFont="1" applyFill="1" applyBorder="1" applyAlignment="1" applyProtection="1">
      <alignment horizontal="right" vertical="center"/>
      <protection/>
    </xf>
    <xf numFmtId="3" fontId="26" fillId="0" borderId="0" xfId="48" applyNumberFormat="1" applyFont="1" applyFill="1" applyBorder="1" applyAlignment="1">
      <alignment horizontal="left" vertical="center" indent="1"/>
      <protection/>
    </xf>
    <xf numFmtId="4" fontId="26" fillId="0" borderId="16" xfId="54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>
      <alignment/>
    </xf>
    <xf numFmtId="165" fontId="23" fillId="0" borderId="0" xfId="59" applyNumberFormat="1" applyFont="1" applyFill="1" applyBorder="1" applyAlignment="1" applyProtection="1">
      <alignment/>
      <protection/>
    </xf>
    <xf numFmtId="165" fontId="11" fillId="0" borderId="0" xfId="59" applyNumberFormat="1" applyFont="1" applyFill="1" applyAlignment="1">
      <alignment/>
    </xf>
    <xf numFmtId="165" fontId="23" fillId="36" borderId="50" xfId="59" applyNumberFormat="1" applyFont="1" applyFill="1" applyBorder="1" applyAlignment="1" applyProtection="1">
      <alignment horizontal="right" vertical="center" wrapText="1"/>
      <protection/>
    </xf>
    <xf numFmtId="165" fontId="23" fillId="36" borderId="26" xfId="59" applyNumberFormat="1" applyFont="1" applyFill="1" applyBorder="1" applyAlignment="1" applyProtection="1">
      <alignment horizontal="center" vertical="center" wrapText="1"/>
      <protection/>
    </xf>
    <xf numFmtId="165" fontId="23" fillId="0" borderId="0" xfId="59" applyNumberFormat="1" applyFont="1" applyFill="1" applyBorder="1" applyAlignment="1" applyProtection="1">
      <alignment horizontal="left" vertical="center" indent="1"/>
      <protection/>
    </xf>
    <xf numFmtId="0" fontId="23" fillId="0" borderId="0" xfId="0" applyFont="1" applyFill="1" applyAlignment="1">
      <alignment horizontal="left" vertical="center" indent="1"/>
    </xf>
    <xf numFmtId="165" fontId="11" fillId="0" borderId="0" xfId="59" applyNumberFormat="1" applyFont="1" applyFill="1" applyAlignment="1">
      <alignment horizontal="left" vertical="center" indent="1"/>
    </xf>
    <xf numFmtId="165" fontId="11" fillId="0" borderId="0" xfId="59" applyNumberFormat="1" applyFont="1" applyFill="1" applyAlignment="1">
      <alignment horizontal="right" vertical="center" indent="1"/>
    </xf>
    <xf numFmtId="165" fontId="4" fillId="0" borderId="0" xfId="54" applyFont="1" applyFill="1" applyBorder="1" applyAlignment="1" applyProtection="1">
      <alignment horizontal="center" vertical="center" wrapText="1"/>
      <protection/>
    </xf>
    <xf numFmtId="165" fontId="12" fillId="0" borderId="21" xfId="54" applyFont="1" applyFill="1" applyBorder="1" applyAlignment="1" applyProtection="1">
      <alignment horizontal="center" vertical="center"/>
      <protection/>
    </xf>
    <xf numFmtId="40" fontId="12" fillId="0" borderId="42" xfId="0" applyNumberFormat="1" applyFont="1" applyFill="1" applyBorder="1" applyAlignment="1">
      <alignment vertical="center"/>
    </xf>
    <xf numFmtId="165" fontId="99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165" fontId="0" fillId="0" borderId="0" xfId="54" applyFont="1" applyFill="1" applyAlignment="1">
      <alignment horizontal="center" vertical="center"/>
    </xf>
    <xf numFmtId="43" fontId="99" fillId="0" borderId="0" xfId="0" applyNumberFormat="1" applyFont="1" applyFill="1" applyAlignment="1">
      <alignment/>
    </xf>
    <xf numFmtId="49" fontId="7" fillId="0" borderId="13" xfId="0" applyNumberFormat="1" applyFont="1" applyFill="1" applyBorder="1" applyAlignment="1">
      <alignment horizontal="left" vertical="center" wrapText="1"/>
    </xf>
    <xf numFmtId="4" fontId="19" fillId="0" borderId="51" xfId="54" applyNumberFormat="1" applyFont="1" applyFill="1" applyBorder="1" applyAlignment="1" applyProtection="1">
      <alignment horizontal="right" vertical="center"/>
      <protection/>
    </xf>
    <xf numFmtId="0" fontId="20" fillId="0" borderId="17" xfId="0" applyFont="1" applyBorder="1" applyAlignment="1">
      <alignment horizontal="center" vertical="center"/>
    </xf>
    <xf numFmtId="165" fontId="23" fillId="0" borderId="16" xfId="54" applyFont="1" applyFill="1" applyBorder="1" applyAlignment="1" applyProtection="1">
      <alignment horizontal="right" vertical="center"/>
      <protection/>
    </xf>
    <xf numFmtId="165" fontId="23" fillId="36" borderId="16" xfId="54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>
      <alignment/>
    </xf>
    <xf numFmtId="164" fontId="23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>
      <alignment/>
    </xf>
    <xf numFmtId="40" fontId="13" fillId="36" borderId="51" xfId="0" applyNumberFormat="1" applyFont="1" applyFill="1" applyBorder="1" applyAlignment="1">
      <alignment vertical="center"/>
    </xf>
    <xf numFmtId="40" fontId="13" fillId="36" borderId="52" xfId="0" applyNumberFormat="1" applyFont="1" applyFill="1" applyBorder="1" applyAlignment="1">
      <alignment vertical="center"/>
    </xf>
    <xf numFmtId="40" fontId="13" fillId="36" borderId="51" xfId="54" applyNumberFormat="1" applyFont="1" applyFill="1" applyBorder="1" applyAlignment="1" applyProtection="1">
      <alignment horizontal="right" vertical="center"/>
      <protection/>
    </xf>
    <xf numFmtId="40" fontId="12" fillId="36" borderId="53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/>
    </xf>
    <xf numFmtId="165" fontId="7" fillId="0" borderId="19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vertical="center"/>
    </xf>
    <xf numFmtId="0" fontId="23" fillId="0" borderId="2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top" wrapText="1"/>
    </xf>
    <xf numFmtId="165" fontId="23" fillId="36" borderId="0" xfId="0" applyNumberFormat="1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left" vertical="top" wrapText="1"/>
    </xf>
    <xf numFmtId="165" fontId="23" fillId="36" borderId="55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center"/>
    </xf>
    <xf numFmtId="165" fontId="18" fillId="0" borderId="49" xfId="0" applyNumberFormat="1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165" fontId="99" fillId="0" borderId="0" xfId="59" applyNumberFormat="1" applyFont="1" applyFill="1" applyBorder="1" applyAlignment="1" applyProtection="1">
      <alignment horizontal="right" vertical="center"/>
      <protection/>
    </xf>
    <xf numFmtId="165" fontId="99" fillId="0" borderId="0" xfId="59" applyNumberFormat="1" applyFont="1" applyFill="1" applyBorder="1" applyAlignment="1" applyProtection="1">
      <alignment horizontal="left" vertical="center" indent="1"/>
      <protection/>
    </xf>
    <xf numFmtId="0" fontId="99" fillId="0" borderId="0" xfId="0" applyFont="1" applyFill="1" applyAlignment="1">
      <alignment horizontal="left" vertical="center" indent="1"/>
    </xf>
    <xf numFmtId="165" fontId="100" fillId="0" borderId="0" xfId="59" applyNumberFormat="1" applyFont="1" applyFill="1" applyAlignment="1">
      <alignment horizontal="left" vertical="center" indent="1"/>
    </xf>
    <xf numFmtId="43" fontId="99" fillId="0" borderId="0" xfId="0" applyNumberFormat="1" applyFont="1" applyFill="1" applyAlignment="1">
      <alignment horizontal="left" vertical="center" indent="1"/>
    </xf>
    <xf numFmtId="49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7"/>
    </xf>
    <xf numFmtId="49" fontId="16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0" xfId="0" applyFont="1" applyAlignment="1">
      <alignment horizontal="right" vertical="center"/>
    </xf>
    <xf numFmtId="165" fontId="4" fillId="0" borderId="56" xfId="54" applyFont="1" applyFill="1" applyBorder="1" applyAlignment="1" applyProtection="1">
      <alignment vertical="center"/>
      <protection/>
    </xf>
    <xf numFmtId="165" fontId="13" fillId="0" borderId="16" xfId="54" applyFont="1" applyFill="1" applyBorder="1" applyAlignment="1" applyProtection="1">
      <alignment horizontal="center" vertical="center"/>
      <protection/>
    </xf>
    <xf numFmtId="165" fontId="13" fillId="0" borderId="39" xfId="54" applyFont="1" applyFill="1" applyBorder="1" applyAlignment="1" applyProtection="1">
      <alignment horizontal="center" vertical="center"/>
      <protection/>
    </xf>
    <xf numFmtId="0" fontId="26" fillId="0" borderId="21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165" fontId="0" fillId="0" borderId="0" xfId="59" applyNumberFormat="1" applyFont="1" applyFill="1" applyAlignment="1">
      <alignment horizontal="left" vertical="center" indent="1"/>
    </xf>
    <xf numFmtId="165" fontId="0" fillId="0" borderId="0" xfId="59" applyNumberFormat="1" applyFont="1" applyFill="1" applyAlignment="1">
      <alignment/>
    </xf>
    <xf numFmtId="165" fontId="18" fillId="0" borderId="21" xfId="59" applyNumberFormat="1" applyFont="1" applyFill="1" applyBorder="1" applyAlignment="1" applyProtection="1">
      <alignment horizontal="right" vertical="center" wrapText="1"/>
      <protection/>
    </xf>
    <xf numFmtId="177" fontId="7" fillId="0" borderId="0" xfId="0" applyNumberFormat="1" applyFont="1" applyBorder="1" applyAlignment="1">
      <alignment/>
    </xf>
    <xf numFmtId="43" fontId="18" fillId="36" borderId="0" xfId="0" applyNumberFormat="1" applyFont="1" applyFill="1" applyAlignment="1">
      <alignment/>
    </xf>
    <xf numFmtId="165" fontId="23" fillId="36" borderId="57" xfId="59" applyNumberFormat="1" applyFont="1" applyFill="1" applyBorder="1" applyAlignment="1" applyProtection="1">
      <alignment horizontal="left" vertical="center" wrapText="1"/>
      <protection/>
    </xf>
    <xf numFmtId="0" fontId="18" fillId="0" borderId="58" xfId="0" applyFont="1" applyFill="1" applyBorder="1" applyAlignment="1">
      <alignment/>
    </xf>
    <xf numFmtId="43" fontId="18" fillId="0" borderId="0" xfId="0" applyNumberFormat="1" applyFont="1" applyAlignment="1">
      <alignment/>
    </xf>
    <xf numFmtId="43" fontId="7" fillId="0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 horizontal="left" vertical="center" indent="8"/>
    </xf>
    <xf numFmtId="2" fontId="13" fillId="0" borderId="0" xfId="0" applyNumberFormat="1" applyFont="1" applyAlignment="1">
      <alignment vertical="center"/>
    </xf>
    <xf numFmtId="165" fontId="18" fillId="0" borderId="49" xfId="59" applyNumberFormat="1" applyFont="1" applyFill="1" applyBorder="1" applyAlignment="1" applyProtection="1">
      <alignment horizontal="right" vertical="center"/>
      <protection/>
    </xf>
    <xf numFmtId="166" fontId="18" fillId="0" borderId="0" xfId="0" applyNumberFormat="1" applyFont="1" applyFill="1" applyBorder="1" applyAlignment="1">
      <alignment/>
    </xf>
    <xf numFmtId="0" fontId="19" fillId="0" borderId="0" xfId="49" applyFont="1" applyFill="1" applyBorder="1" applyAlignment="1">
      <alignment horizontal="left" indent="7"/>
      <protection/>
    </xf>
    <xf numFmtId="0" fontId="19" fillId="0" borderId="0" xfId="49" applyFont="1">
      <alignment/>
      <protection/>
    </xf>
    <xf numFmtId="0" fontId="26" fillId="0" borderId="0" xfId="49" applyFont="1" applyFill="1" applyBorder="1" applyAlignment="1">
      <alignment horizontal="left" indent="7"/>
      <protection/>
    </xf>
    <xf numFmtId="0" fontId="26" fillId="0" borderId="0" xfId="49" applyFont="1" applyFill="1" applyAlignment="1">
      <alignment/>
      <protection/>
    </xf>
    <xf numFmtId="2" fontId="19" fillId="0" borderId="0" xfId="49" applyNumberFormat="1" applyFont="1" applyFill="1" applyBorder="1" applyAlignment="1">
      <alignment/>
      <protection/>
    </xf>
    <xf numFmtId="0" fontId="26" fillId="0" borderId="0" xfId="49" applyFont="1" applyFill="1" applyBorder="1" applyAlignment="1">
      <alignment/>
      <protection/>
    </xf>
    <xf numFmtId="0" fontId="19" fillId="0" borderId="0" xfId="49" applyFont="1" applyFill="1" applyAlignment="1">
      <alignment/>
      <protection/>
    </xf>
    <xf numFmtId="0" fontId="19" fillId="0" borderId="0" xfId="49" applyFont="1" applyFill="1" applyBorder="1" applyAlignment="1">
      <alignment/>
      <protection/>
    </xf>
    <xf numFmtId="49" fontId="19" fillId="0" borderId="0" xfId="49" applyNumberFormat="1" applyFont="1" applyFill="1" applyAlignment="1">
      <alignment horizontal="left" indent="7"/>
      <protection/>
    </xf>
    <xf numFmtId="49" fontId="19" fillId="0" borderId="0" xfId="49" applyNumberFormat="1" applyFont="1" applyFill="1" applyBorder="1" applyAlignment="1">
      <alignment horizontal="left" indent="7"/>
      <protection/>
    </xf>
    <xf numFmtId="0" fontId="19" fillId="0" borderId="0" xfId="49" applyNumberFormat="1" applyFont="1">
      <alignment/>
      <protection/>
    </xf>
    <xf numFmtId="49" fontId="19" fillId="0" borderId="0" xfId="49" applyNumberFormat="1" applyFont="1" applyFill="1" applyBorder="1">
      <alignment/>
      <protection/>
    </xf>
    <xf numFmtId="49" fontId="19" fillId="0" borderId="0" xfId="49" applyNumberFormat="1" applyFont="1" applyFill="1">
      <alignment/>
      <protection/>
    </xf>
    <xf numFmtId="165" fontId="19" fillId="0" borderId="0" xfId="58" applyFont="1" applyFill="1" applyBorder="1" applyAlignment="1" applyProtection="1">
      <alignment/>
      <protection/>
    </xf>
    <xf numFmtId="0" fontId="19" fillId="0" borderId="0" xfId="49" applyFont="1" applyFill="1">
      <alignment/>
      <protection/>
    </xf>
    <xf numFmtId="49" fontId="26" fillId="0" borderId="0" xfId="49" applyNumberFormat="1" applyFont="1" applyFill="1" applyBorder="1">
      <alignment/>
      <protection/>
    </xf>
    <xf numFmtId="4" fontId="19" fillId="0" borderId="0" xfId="49" applyNumberFormat="1" applyFont="1" applyFill="1" applyBorder="1" applyAlignment="1">
      <alignment horizontal="right" vertical="center"/>
      <protection/>
    </xf>
    <xf numFmtId="0" fontId="19" fillId="0" borderId="23" xfId="49" applyFont="1" applyFill="1" applyBorder="1" applyAlignment="1">
      <alignment vertical="top"/>
      <protection/>
    </xf>
    <xf numFmtId="0" fontId="19" fillId="0" borderId="0" xfId="49" applyFont="1" applyFill="1" applyBorder="1" applyAlignment="1">
      <alignment vertical="top"/>
      <protection/>
    </xf>
    <xf numFmtId="166" fontId="19" fillId="0" borderId="0" xfId="49" applyNumberFormat="1" applyFont="1" applyFill="1" applyBorder="1" applyAlignment="1">
      <alignment horizontal="right"/>
      <protection/>
    </xf>
    <xf numFmtId="0" fontId="19" fillId="0" borderId="17" xfId="49" applyFont="1" applyFill="1" applyBorder="1" applyAlignment="1">
      <alignment horizontal="center" vertical="center" wrapText="1"/>
      <protection/>
    </xf>
    <xf numFmtId="165" fontId="19" fillId="0" borderId="17" xfId="58" applyFont="1" applyFill="1" applyBorder="1" applyAlignment="1" applyProtection="1">
      <alignment horizontal="center" vertical="center" wrapText="1"/>
      <protection/>
    </xf>
    <xf numFmtId="43" fontId="19" fillId="0" borderId="0" xfId="49" applyNumberFormat="1" applyFont="1">
      <alignment/>
      <protection/>
    </xf>
    <xf numFmtId="165" fontId="26" fillId="0" borderId="17" xfId="58" applyFont="1" applyFill="1" applyBorder="1" applyAlignment="1" applyProtection="1">
      <alignment horizontal="center" vertical="center" wrapText="1"/>
      <protection/>
    </xf>
    <xf numFmtId="0" fontId="26" fillId="0" borderId="0" xfId="49" applyFont="1">
      <alignment/>
      <protection/>
    </xf>
    <xf numFmtId="43" fontId="26" fillId="0" borderId="0" xfId="49" applyNumberFormat="1" applyFont="1">
      <alignment/>
      <protection/>
    </xf>
    <xf numFmtId="165" fontId="19" fillId="0" borderId="59" xfId="56" applyFont="1" applyBorder="1" applyAlignment="1">
      <alignment vertical="center"/>
    </xf>
    <xf numFmtId="165" fontId="26" fillId="0" borderId="19" xfId="58" applyFont="1" applyFill="1" applyBorder="1" applyAlignment="1" applyProtection="1">
      <alignment horizontal="right" vertical="center"/>
      <protection/>
    </xf>
    <xf numFmtId="165" fontId="26" fillId="0" borderId="59" xfId="56" applyFont="1" applyBorder="1" applyAlignment="1">
      <alignment vertical="center"/>
    </xf>
    <xf numFmtId="4" fontId="26" fillId="0" borderId="19" xfId="49" applyNumberFormat="1" applyFont="1" applyFill="1" applyBorder="1" applyAlignment="1">
      <alignment horizontal="right" vertical="center"/>
      <protection/>
    </xf>
    <xf numFmtId="4" fontId="26" fillId="0" borderId="20" xfId="49" applyNumberFormat="1" applyFont="1" applyFill="1" applyBorder="1" applyAlignment="1">
      <alignment horizontal="right" vertical="center"/>
      <protection/>
    </xf>
    <xf numFmtId="165" fontId="19" fillId="0" borderId="19" xfId="58" applyFont="1" applyFill="1" applyBorder="1" applyAlignment="1" applyProtection="1">
      <alignment horizontal="right" vertical="center"/>
      <protection/>
    </xf>
    <xf numFmtId="4" fontId="19" fillId="0" borderId="19" xfId="49" applyNumberFormat="1" applyFont="1" applyFill="1" applyBorder="1" applyAlignment="1">
      <alignment horizontal="right" vertical="center"/>
      <protection/>
    </xf>
    <xf numFmtId="4" fontId="19" fillId="0" borderId="20" xfId="49" applyNumberFormat="1" applyFont="1" applyFill="1" applyBorder="1" applyAlignment="1">
      <alignment horizontal="right" vertical="center"/>
      <protection/>
    </xf>
    <xf numFmtId="4" fontId="19" fillId="0" borderId="0" xfId="49" applyNumberFormat="1" applyFont="1">
      <alignment/>
      <protection/>
    </xf>
    <xf numFmtId="4" fontId="26" fillId="0" borderId="15" xfId="49" applyNumberFormat="1" applyFont="1" applyFill="1" applyBorder="1" applyAlignment="1">
      <alignment horizontal="right" vertical="center"/>
      <protection/>
    </xf>
    <xf numFmtId="165" fontId="26" fillId="0" borderId="15" xfId="58" applyFont="1" applyFill="1" applyBorder="1" applyAlignment="1" applyProtection="1">
      <alignment horizontal="right" vertical="center"/>
      <protection/>
    </xf>
    <xf numFmtId="0" fontId="19" fillId="33" borderId="0" xfId="49" applyFont="1" applyFill="1">
      <alignment/>
      <protection/>
    </xf>
    <xf numFmtId="4" fontId="26" fillId="0" borderId="10" xfId="49" applyNumberFormat="1" applyFont="1" applyFill="1" applyBorder="1" applyAlignment="1">
      <alignment horizontal="right" vertical="center"/>
      <protection/>
    </xf>
    <xf numFmtId="0" fontId="26" fillId="33" borderId="0" xfId="49" applyFont="1" applyFill="1">
      <alignment/>
      <protection/>
    </xf>
    <xf numFmtId="165" fontId="19" fillId="0" borderId="13" xfId="58" applyFont="1" applyFill="1" applyBorder="1" applyAlignment="1" applyProtection="1">
      <alignment horizontal="right" vertical="center"/>
      <protection/>
    </xf>
    <xf numFmtId="165" fontId="0" fillId="0" borderId="0" xfId="56" applyFont="1" applyAlignment="1">
      <alignment/>
    </xf>
    <xf numFmtId="4" fontId="19" fillId="0" borderId="13" xfId="49" applyNumberFormat="1" applyFont="1" applyFill="1" applyBorder="1" applyAlignment="1">
      <alignment horizontal="right" vertical="center"/>
      <protection/>
    </xf>
    <xf numFmtId="165" fontId="19" fillId="0" borderId="59" xfId="56" applyFont="1" applyFill="1" applyBorder="1" applyAlignment="1">
      <alignment horizontal="right" vertical="center"/>
    </xf>
    <xf numFmtId="165" fontId="19" fillId="0" borderId="21" xfId="58" applyFont="1" applyFill="1" applyBorder="1" applyAlignment="1" applyProtection="1">
      <alignment horizontal="right" vertical="center"/>
      <protection/>
    </xf>
    <xf numFmtId="4" fontId="19" fillId="0" borderId="15" xfId="49" applyNumberFormat="1" applyFont="1" applyFill="1" applyBorder="1" applyAlignment="1">
      <alignment horizontal="right" vertical="center"/>
      <protection/>
    </xf>
    <xf numFmtId="4" fontId="19" fillId="0" borderId="16" xfId="49" applyNumberFormat="1" applyFont="1" applyFill="1" applyBorder="1" applyAlignment="1">
      <alignment horizontal="right" vertical="center"/>
      <protection/>
    </xf>
    <xf numFmtId="4" fontId="26" fillId="0" borderId="60" xfId="49" applyNumberFormat="1" applyFont="1" applyFill="1" applyBorder="1" applyAlignment="1">
      <alignment horizontal="right" vertical="center"/>
      <protection/>
    </xf>
    <xf numFmtId="4" fontId="26" fillId="0" borderId="56" xfId="49" applyNumberFormat="1" applyFont="1" applyFill="1" applyBorder="1" applyAlignment="1">
      <alignment horizontal="right" vertical="center"/>
      <protection/>
    </xf>
    <xf numFmtId="4" fontId="26" fillId="0" borderId="21" xfId="49" applyNumberFormat="1" applyFont="1" applyFill="1" applyBorder="1" applyAlignment="1">
      <alignment horizontal="right" vertical="center"/>
      <protection/>
    </xf>
    <xf numFmtId="165" fontId="26" fillId="0" borderId="13" xfId="58" applyFont="1" applyFill="1" applyBorder="1" applyAlignment="1" applyProtection="1">
      <alignment horizontal="right" vertical="center"/>
      <protection/>
    </xf>
    <xf numFmtId="165" fontId="19" fillId="0" borderId="59" xfId="56" applyFont="1" applyFill="1" applyBorder="1" applyAlignment="1">
      <alignment vertical="center"/>
    </xf>
    <xf numFmtId="4" fontId="19" fillId="0" borderId="0" xfId="49" applyNumberFormat="1" applyFont="1" applyFill="1">
      <alignment/>
      <protection/>
    </xf>
    <xf numFmtId="165" fontId="19" fillId="0" borderId="19" xfId="56" applyFont="1" applyFill="1" applyBorder="1" applyAlignment="1">
      <alignment horizontal="right" vertical="center"/>
    </xf>
    <xf numFmtId="0" fontId="19" fillId="0" borderId="0" xfId="49" applyNumberFormat="1" applyFont="1" applyFill="1" applyBorder="1">
      <alignment/>
      <protection/>
    </xf>
    <xf numFmtId="0" fontId="19" fillId="0" borderId="0" xfId="49" applyNumberFormat="1" applyFont="1" applyFill="1">
      <alignment/>
      <protection/>
    </xf>
    <xf numFmtId="0" fontId="26" fillId="0" borderId="0" xfId="49" applyNumberFormat="1" applyFont="1" applyFill="1">
      <alignment/>
      <protection/>
    </xf>
    <xf numFmtId="0" fontId="19" fillId="0" borderId="0" xfId="49" applyFont="1" applyFill="1" applyBorder="1" applyAlignment="1">
      <alignment vertical="center"/>
      <protection/>
    </xf>
    <xf numFmtId="4" fontId="26" fillId="0" borderId="0" xfId="49" applyNumberFormat="1" applyFont="1" applyFill="1" applyBorder="1" applyAlignment="1">
      <alignment horizontal="right" vertical="center"/>
      <protection/>
    </xf>
    <xf numFmtId="165" fontId="26" fillId="0" borderId="0" xfId="58" applyFont="1" applyFill="1" applyBorder="1" applyAlignment="1" applyProtection="1">
      <alignment horizontal="right" vertical="center"/>
      <protection/>
    </xf>
    <xf numFmtId="2" fontId="19" fillId="0" borderId="0" xfId="49" applyNumberFormat="1" applyFont="1" applyFill="1" applyBorder="1" applyAlignment="1">
      <alignment vertical="top"/>
      <protection/>
    </xf>
    <xf numFmtId="165" fontId="19" fillId="0" borderId="0" xfId="58" applyFont="1" applyFill="1" applyBorder="1" applyAlignment="1" applyProtection="1">
      <alignment vertical="center"/>
      <protection/>
    </xf>
    <xf numFmtId="167" fontId="19" fillId="0" borderId="0" xfId="49" applyNumberFormat="1" applyFont="1" applyFill="1" applyAlignment="1">
      <alignment vertical="center"/>
      <protection/>
    </xf>
    <xf numFmtId="4" fontId="19" fillId="0" borderId="0" xfId="49" applyNumberFormat="1" applyFont="1" applyFill="1" applyAlignment="1">
      <alignment vertical="center"/>
      <protection/>
    </xf>
    <xf numFmtId="165" fontId="26" fillId="0" borderId="0" xfId="49" applyNumberFormat="1" applyFont="1" applyFill="1" applyAlignment="1">
      <alignment horizontal="center" vertical="center"/>
      <protection/>
    </xf>
    <xf numFmtId="0" fontId="19" fillId="0" borderId="0" xfId="49" applyFont="1" applyFill="1" applyAlignment="1">
      <alignment horizontal="center" vertical="center"/>
      <protection/>
    </xf>
    <xf numFmtId="4" fontId="19" fillId="0" borderId="0" xfId="49" applyNumberFormat="1" applyFont="1" applyFill="1" applyBorder="1" applyAlignment="1">
      <alignment horizontal="center" vertical="center"/>
      <protection/>
    </xf>
    <xf numFmtId="0" fontId="26" fillId="0" borderId="0" xfId="49" applyFont="1" applyFill="1" applyBorder="1" applyAlignment="1">
      <alignment horizontal="center" vertical="center"/>
      <protection/>
    </xf>
    <xf numFmtId="165" fontId="2" fillId="0" borderId="0" xfId="56" applyFont="1" applyFill="1" applyAlignment="1">
      <alignment/>
    </xf>
    <xf numFmtId="43" fontId="19" fillId="0" borderId="0" xfId="49" applyNumberFormat="1" applyFont="1" applyFill="1">
      <alignment/>
      <protection/>
    </xf>
    <xf numFmtId="165" fontId="19" fillId="0" borderId="0" xfId="49" applyNumberFormat="1" applyFont="1" applyFill="1">
      <alignment/>
      <protection/>
    </xf>
    <xf numFmtId="0" fontId="19" fillId="36" borderId="0" xfId="49" applyNumberFormat="1" applyFont="1" applyFill="1" applyBorder="1">
      <alignment/>
      <protection/>
    </xf>
    <xf numFmtId="0" fontId="19" fillId="36" borderId="0" xfId="49" applyNumberFormat="1" applyFont="1" applyFill="1">
      <alignment/>
      <protection/>
    </xf>
    <xf numFmtId="165" fontId="19" fillId="36" borderId="0" xfId="58" applyFont="1" applyFill="1" applyBorder="1" applyAlignment="1" applyProtection="1">
      <alignment/>
      <protection/>
    </xf>
    <xf numFmtId="0" fontId="18" fillId="36" borderId="0" xfId="49" applyNumberFormat="1" applyFont="1" applyFill="1" applyBorder="1">
      <alignment/>
      <protection/>
    </xf>
    <xf numFmtId="0" fontId="18" fillId="36" borderId="0" xfId="49" applyNumberFormat="1" applyFont="1" applyFill="1">
      <alignment/>
      <protection/>
    </xf>
    <xf numFmtId="165" fontId="18" fillId="36" borderId="0" xfId="58" applyFont="1" applyFill="1" applyBorder="1" applyAlignment="1" applyProtection="1">
      <alignment/>
      <protection/>
    </xf>
    <xf numFmtId="0" fontId="18" fillId="0" borderId="0" xfId="49" applyFont="1">
      <alignment/>
      <protection/>
    </xf>
    <xf numFmtId="0" fontId="18" fillId="0" borderId="0" xfId="49" applyNumberFormat="1" applyFont="1" applyFill="1" applyBorder="1">
      <alignment/>
      <protection/>
    </xf>
    <xf numFmtId="0" fontId="18" fillId="0" borderId="0" xfId="49" applyNumberFormat="1" applyFont="1" applyFill="1">
      <alignment/>
      <protection/>
    </xf>
    <xf numFmtId="165" fontId="18" fillId="0" borderId="0" xfId="58" applyFont="1" applyFill="1" applyBorder="1" applyAlignment="1" applyProtection="1">
      <alignment/>
      <protection/>
    </xf>
    <xf numFmtId="165" fontId="26" fillId="0" borderId="59" xfId="56" applyFont="1" applyFill="1" applyBorder="1" applyAlignment="1">
      <alignment horizontal="right" vertical="center"/>
    </xf>
    <xf numFmtId="165" fontId="26" fillId="0" borderId="59" xfId="56" applyFont="1" applyFill="1" applyBorder="1" applyAlignment="1" applyProtection="1">
      <alignment horizontal="right" vertical="center"/>
      <protection/>
    </xf>
    <xf numFmtId="165" fontId="10" fillId="0" borderId="0" xfId="56" applyFont="1" applyAlignment="1">
      <alignment/>
    </xf>
    <xf numFmtId="165" fontId="10" fillId="0" borderId="0" xfId="54" applyFont="1" applyAlignment="1">
      <alignment/>
    </xf>
    <xf numFmtId="165" fontId="0" fillId="0" borderId="0" xfId="54" applyFont="1" applyAlignment="1">
      <alignment/>
    </xf>
    <xf numFmtId="165" fontId="18" fillId="0" borderId="19" xfId="56" applyFont="1" applyFill="1" applyBorder="1" applyAlignment="1" applyProtection="1">
      <alignment horizontal="right" vertical="center" wrapText="1"/>
      <protection/>
    </xf>
    <xf numFmtId="165" fontId="18" fillId="0" borderId="20" xfId="56" applyFont="1" applyFill="1" applyBorder="1" applyAlignment="1" applyProtection="1">
      <alignment horizontal="right" vertical="center" wrapText="1"/>
      <protection/>
    </xf>
    <xf numFmtId="165" fontId="18" fillId="0" borderId="19" xfId="56" applyFont="1" applyFill="1" applyBorder="1" applyAlignment="1" applyProtection="1">
      <alignment horizontal="right" vertical="center"/>
      <protection/>
    </xf>
    <xf numFmtId="165" fontId="18" fillId="0" borderId="19" xfId="56" applyFont="1" applyFill="1" applyBorder="1" applyAlignment="1" applyProtection="1">
      <alignment horizontal="left" vertical="center"/>
      <protection/>
    </xf>
    <xf numFmtId="165" fontId="18" fillId="0" borderId="13" xfId="56" applyFont="1" applyFill="1" applyBorder="1" applyAlignment="1" applyProtection="1">
      <alignment horizontal="right" vertical="center" wrapText="1"/>
      <protection/>
    </xf>
    <xf numFmtId="165" fontId="23" fillId="0" borderId="19" xfId="56" applyFont="1" applyFill="1" applyBorder="1" applyAlignment="1" applyProtection="1">
      <alignment horizontal="right" vertical="center"/>
      <protection/>
    </xf>
    <xf numFmtId="165" fontId="18" fillId="0" borderId="19" xfId="56" applyFont="1" applyFill="1" applyBorder="1" applyAlignment="1" applyProtection="1">
      <alignment vertical="center" wrapText="1"/>
      <protection/>
    </xf>
    <xf numFmtId="165" fontId="18" fillId="0" borderId="15" xfId="56" applyFont="1" applyFill="1" applyBorder="1" applyAlignment="1" applyProtection="1">
      <alignment horizontal="right" vertical="top" wrapText="1"/>
      <protection/>
    </xf>
    <xf numFmtId="165" fontId="18" fillId="0" borderId="0" xfId="56" applyFont="1" applyFill="1" applyBorder="1" applyAlignment="1" applyProtection="1">
      <alignment horizontal="center" vertical="top" wrapText="1"/>
      <protection/>
    </xf>
    <xf numFmtId="165" fontId="18" fillId="0" borderId="16" xfId="56" applyFont="1" applyFill="1" applyBorder="1" applyAlignment="1" applyProtection="1">
      <alignment horizontal="right" vertical="top" wrapText="1"/>
      <protection/>
    </xf>
    <xf numFmtId="165" fontId="18" fillId="0" borderId="46" xfId="56" applyFont="1" applyFill="1" applyBorder="1" applyAlignment="1" applyProtection="1">
      <alignment horizontal="right" vertical="top" wrapText="1"/>
      <protection/>
    </xf>
    <xf numFmtId="165" fontId="18" fillId="0" borderId="61" xfId="56" applyFont="1" applyFill="1" applyBorder="1" applyAlignment="1" applyProtection="1">
      <alignment/>
      <protection/>
    </xf>
    <xf numFmtId="165" fontId="18" fillId="0" borderId="0" xfId="56" applyFont="1" applyFill="1" applyBorder="1" applyAlignment="1" applyProtection="1">
      <alignment horizontal="right" vertical="top" wrapText="1"/>
      <protection/>
    </xf>
    <xf numFmtId="165" fontId="18" fillId="0" borderId="0" xfId="56" applyFont="1" applyFill="1" applyBorder="1" applyAlignment="1" applyProtection="1">
      <alignment/>
      <protection/>
    </xf>
    <xf numFmtId="165" fontId="18" fillId="0" borderId="17" xfId="56" applyFont="1" applyFill="1" applyBorder="1" applyAlignment="1" applyProtection="1">
      <alignment horizontal="right" vertical="top" wrapText="1"/>
      <protection/>
    </xf>
    <xf numFmtId="165" fontId="18" fillId="0" borderId="18" xfId="56" applyFont="1" applyFill="1" applyBorder="1" applyAlignment="1" applyProtection="1">
      <alignment horizontal="right" vertical="top" wrapText="1"/>
      <protection/>
    </xf>
    <xf numFmtId="165" fontId="18" fillId="0" borderId="62" xfId="56" applyFont="1" applyFill="1" applyBorder="1" applyAlignment="1" applyProtection="1">
      <alignment horizontal="right" vertical="top" wrapText="1"/>
      <protection/>
    </xf>
    <xf numFmtId="165" fontId="18" fillId="0" borderId="63" xfId="56" applyFont="1" applyFill="1" applyBorder="1" applyAlignment="1" applyProtection="1">
      <alignment/>
      <protection/>
    </xf>
    <xf numFmtId="165" fontId="18" fillId="0" borderId="23" xfId="56" applyFont="1" applyFill="1" applyBorder="1" applyAlignment="1" applyProtection="1">
      <alignment horizontal="right" vertical="top" wrapText="1"/>
      <protection/>
    </xf>
    <xf numFmtId="165" fontId="18" fillId="0" borderId="23" xfId="56" applyFont="1" applyFill="1" applyBorder="1" applyAlignment="1" applyProtection="1">
      <alignment/>
      <protection/>
    </xf>
    <xf numFmtId="165" fontId="18" fillId="0" borderId="0" xfId="56" applyFont="1" applyFill="1" applyBorder="1" applyAlignment="1" applyProtection="1">
      <alignment horizontal="center" vertical="center" wrapText="1"/>
      <protection/>
    </xf>
    <xf numFmtId="165" fontId="18" fillId="0" borderId="0" xfId="56" applyFont="1" applyFill="1" applyBorder="1" applyAlignment="1" applyProtection="1">
      <alignment horizontal="center"/>
      <protection/>
    </xf>
    <xf numFmtId="165" fontId="18" fillId="0" borderId="12" xfId="56" applyFont="1" applyFill="1" applyBorder="1" applyAlignment="1" applyProtection="1">
      <alignment horizontal="center" vertical="center" wrapText="1"/>
      <protection/>
    </xf>
    <xf numFmtId="165" fontId="23" fillId="0" borderId="0" xfId="56" applyFont="1" applyFill="1" applyBorder="1" applyAlignment="1" applyProtection="1">
      <alignment horizontal="right" vertical="center"/>
      <protection/>
    </xf>
    <xf numFmtId="165" fontId="23" fillId="0" borderId="0" xfId="56" applyFont="1" applyFill="1" applyBorder="1" applyAlignment="1" applyProtection="1">
      <alignment horizontal="center" vertical="center"/>
      <protection/>
    </xf>
    <xf numFmtId="165" fontId="0" fillId="0" borderId="0" xfId="59" applyNumberFormat="1" applyFont="1" applyFill="1" applyAlignment="1">
      <alignment horizontal="center" vertical="center"/>
    </xf>
    <xf numFmtId="40" fontId="13" fillId="0" borderId="38" xfId="54" applyNumberFormat="1" applyFont="1" applyFill="1" applyBorder="1" applyAlignment="1" applyProtection="1">
      <alignment horizontal="right" vertical="center"/>
      <protection/>
    </xf>
    <xf numFmtId="43" fontId="19" fillId="0" borderId="0" xfId="49" applyNumberFormat="1" applyFont="1" applyFill="1" applyBorder="1">
      <alignment/>
      <protection/>
    </xf>
    <xf numFmtId="165" fontId="12" fillId="36" borderId="11" xfId="0" applyNumberFormat="1" applyFont="1" applyFill="1" applyBorder="1" applyAlignment="1">
      <alignment vertical="center"/>
    </xf>
    <xf numFmtId="4" fontId="19" fillId="0" borderId="0" xfId="49" applyNumberFormat="1" applyFont="1" applyFill="1" applyAlignment="1">
      <alignment horizontal="center" vertical="center"/>
      <protection/>
    </xf>
    <xf numFmtId="165" fontId="19" fillId="0" borderId="0" xfId="54" applyFont="1" applyFill="1" applyBorder="1" applyAlignment="1" applyProtection="1">
      <alignment horizontal="right" vertical="center"/>
      <protection/>
    </xf>
    <xf numFmtId="165" fontId="0" fillId="0" borderId="0" xfId="54" applyFont="1" applyFill="1" applyAlignment="1">
      <alignment/>
    </xf>
    <xf numFmtId="165" fontId="101" fillId="0" borderId="0" xfId="59" applyNumberFormat="1" applyFont="1" applyFill="1" applyBorder="1" applyAlignment="1" applyProtection="1">
      <alignment horizontal="right" vertical="center"/>
      <protection/>
    </xf>
    <xf numFmtId="165" fontId="101" fillId="0" borderId="0" xfId="59" applyNumberFormat="1" applyFont="1" applyFill="1" applyBorder="1" applyAlignment="1" applyProtection="1">
      <alignment horizontal="left" vertical="center" indent="1"/>
      <protection/>
    </xf>
    <xf numFmtId="165" fontId="101" fillId="0" borderId="0" xfId="0" applyNumberFormat="1" applyFont="1" applyFill="1" applyAlignment="1">
      <alignment horizontal="left" vertical="center" indent="1"/>
    </xf>
    <xf numFmtId="0" fontId="101" fillId="0" borderId="0" xfId="0" applyFont="1" applyFill="1" applyAlignment="1">
      <alignment horizontal="left" vertical="center" indent="1"/>
    </xf>
    <xf numFmtId="165" fontId="102" fillId="0" borderId="0" xfId="59" applyNumberFormat="1" applyFont="1" applyFill="1" applyAlignment="1">
      <alignment horizontal="left" vertical="center" indent="1"/>
    </xf>
    <xf numFmtId="43" fontId="101" fillId="0" borderId="0" xfId="0" applyNumberFormat="1" applyFont="1" applyFill="1" applyAlignment="1">
      <alignment horizontal="left" vertical="center" indent="1"/>
    </xf>
    <xf numFmtId="43" fontId="101" fillId="0" borderId="0" xfId="0" applyNumberFormat="1" applyFont="1" applyFill="1" applyBorder="1" applyAlignment="1">
      <alignment horizontal="left" vertical="center" indent="1"/>
    </xf>
    <xf numFmtId="0" fontId="101" fillId="0" borderId="0" xfId="0" applyFont="1" applyFill="1" applyBorder="1" applyAlignment="1">
      <alignment horizontal="left" vertical="center" indent="1"/>
    </xf>
    <xf numFmtId="165" fontId="103" fillId="0" borderId="0" xfId="59" applyNumberFormat="1" applyFont="1" applyFill="1" applyAlignment="1">
      <alignment horizontal="left" vertical="center" indent="1"/>
    </xf>
    <xf numFmtId="165" fontId="102" fillId="0" borderId="0" xfId="59" applyNumberFormat="1" applyFont="1" applyFill="1" applyBorder="1" applyAlignment="1" applyProtection="1">
      <alignment horizontal="right" vertical="center" wrapText="1"/>
      <protection/>
    </xf>
    <xf numFmtId="164" fontId="101" fillId="0" borderId="0" xfId="0" applyNumberFormat="1" applyFont="1" applyFill="1" applyAlignment="1">
      <alignment horizontal="left" vertical="center" indent="1"/>
    </xf>
    <xf numFmtId="165" fontId="102" fillId="0" borderId="0" xfId="59" applyNumberFormat="1" applyFont="1" applyFill="1" applyBorder="1" applyAlignment="1">
      <alignment horizontal="left" vertical="center" indent="1"/>
    </xf>
    <xf numFmtId="165" fontId="18" fillId="0" borderId="38" xfId="59" applyNumberFormat="1" applyFont="1" applyFill="1" applyBorder="1" applyAlignment="1" applyProtection="1">
      <alignment horizontal="right" vertical="center" wrapText="1"/>
      <protection/>
    </xf>
    <xf numFmtId="165" fontId="3" fillId="0" borderId="0" xfId="0" applyNumberFormat="1" applyFont="1" applyFill="1" applyAlignment="1">
      <alignment horizontal="left" indent="7"/>
    </xf>
    <xf numFmtId="40" fontId="13" fillId="0" borderId="51" xfId="0" applyNumberFormat="1" applyFont="1" applyFill="1" applyBorder="1" applyAlignment="1">
      <alignment vertical="center"/>
    </xf>
    <xf numFmtId="165" fontId="23" fillId="0" borderId="19" xfId="56" applyFont="1" applyFill="1" applyBorder="1" applyAlignment="1" applyProtection="1">
      <alignment horizontal="center" vertical="center" wrapText="1"/>
      <protection/>
    </xf>
    <xf numFmtId="0" fontId="23" fillId="0" borderId="13" xfId="0" applyFont="1" applyBorder="1" applyAlignment="1">
      <alignment vertical="center"/>
    </xf>
    <xf numFmtId="165" fontId="23" fillId="0" borderId="19" xfId="56" applyFont="1" applyFill="1" applyBorder="1" applyAlignment="1" applyProtection="1">
      <alignment horizontal="right" vertical="center" wrapText="1"/>
      <protection/>
    </xf>
    <xf numFmtId="165" fontId="23" fillId="0" borderId="20" xfId="56" applyFont="1" applyFill="1" applyBorder="1" applyAlignment="1" applyProtection="1">
      <alignment vertical="center" wrapText="1"/>
      <protection/>
    </xf>
    <xf numFmtId="0" fontId="23" fillId="0" borderId="24" xfId="0" applyFont="1" applyBorder="1" applyAlignment="1">
      <alignment horizontal="left" vertical="center"/>
    </xf>
    <xf numFmtId="165" fontId="23" fillId="0" borderId="17" xfId="56" applyFont="1" applyFill="1" applyBorder="1" applyAlignment="1" applyProtection="1">
      <alignment horizontal="center" vertical="center" wrapText="1"/>
      <protection/>
    </xf>
    <xf numFmtId="0" fontId="23" fillId="0" borderId="1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 indent="1"/>
    </xf>
    <xf numFmtId="0" fontId="23" fillId="0" borderId="13" xfId="0" applyFont="1" applyBorder="1" applyAlignment="1">
      <alignment horizontal="left" vertical="center" indent="2"/>
    </xf>
    <xf numFmtId="49" fontId="23" fillId="0" borderId="13" xfId="0" applyNumberFormat="1" applyFont="1" applyBorder="1" applyAlignment="1">
      <alignment horizontal="left" vertical="center" indent="1"/>
    </xf>
    <xf numFmtId="165" fontId="23" fillId="0" borderId="19" xfId="56" applyFont="1" applyFill="1" applyBorder="1" applyAlignment="1" applyProtection="1">
      <alignment vertical="center" wrapText="1"/>
      <protection/>
    </xf>
    <xf numFmtId="49" fontId="23" fillId="0" borderId="13" xfId="0" applyNumberFormat="1" applyFont="1" applyBorder="1" applyAlignment="1">
      <alignment vertical="center"/>
    </xf>
    <xf numFmtId="49" fontId="23" fillId="0" borderId="13" xfId="0" applyNumberFormat="1" applyFont="1" applyBorder="1" applyAlignment="1">
      <alignment horizontal="left" vertical="center" indent="2"/>
    </xf>
    <xf numFmtId="0" fontId="23" fillId="0" borderId="0" xfId="0" applyFont="1" applyBorder="1" applyAlignment="1">
      <alignment horizontal="justify" vertical="top" wrapText="1"/>
    </xf>
    <xf numFmtId="165" fontId="23" fillId="0" borderId="15" xfId="56" applyFont="1" applyFill="1" applyBorder="1" applyAlignment="1" applyProtection="1">
      <alignment horizontal="right" vertical="top" wrapText="1"/>
      <protection/>
    </xf>
    <xf numFmtId="165" fontId="23" fillId="0" borderId="16" xfId="56" applyFont="1" applyFill="1" applyBorder="1" applyAlignment="1" applyProtection="1">
      <alignment horizontal="right" vertical="top" wrapText="1"/>
      <protection/>
    </xf>
    <xf numFmtId="165" fontId="23" fillId="0" borderId="10" xfId="56" applyFont="1" applyFill="1" applyBorder="1" applyAlignment="1" applyProtection="1">
      <alignment horizontal="right" vertical="top" wrapText="1"/>
      <protection/>
    </xf>
    <xf numFmtId="165" fontId="23" fillId="0" borderId="11" xfId="56" applyFont="1" applyFill="1" applyBorder="1" applyAlignment="1" applyProtection="1">
      <alignment horizontal="right" vertical="top" wrapText="1"/>
      <protection/>
    </xf>
    <xf numFmtId="165" fontId="104" fillId="0" borderId="0" xfId="0" applyNumberFormat="1" applyFont="1" applyFill="1" applyAlignment="1">
      <alignment/>
    </xf>
    <xf numFmtId="165" fontId="23" fillId="0" borderId="38" xfId="54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Alignment="1">
      <alignment/>
    </xf>
    <xf numFmtId="40" fontId="105" fillId="0" borderId="15" xfId="0" applyNumberFormat="1" applyFont="1" applyFill="1" applyBorder="1" applyAlignment="1">
      <alignment vertical="center"/>
    </xf>
    <xf numFmtId="40" fontId="105" fillId="0" borderId="0" xfId="0" applyNumberFormat="1" applyFont="1" applyFill="1" applyBorder="1" applyAlignment="1">
      <alignment vertical="center"/>
    </xf>
    <xf numFmtId="40" fontId="105" fillId="36" borderId="51" xfId="54" applyNumberFormat="1" applyFont="1" applyFill="1" applyBorder="1" applyAlignment="1" applyProtection="1">
      <alignment horizontal="right" vertical="center"/>
      <protection/>
    </xf>
    <xf numFmtId="40" fontId="105" fillId="0" borderId="21" xfId="0" applyNumberFormat="1" applyFont="1" applyFill="1" applyBorder="1" applyAlignment="1">
      <alignment vertical="center"/>
    </xf>
    <xf numFmtId="40" fontId="105" fillId="0" borderId="0" xfId="0" applyNumberFormat="1" applyFont="1" applyFill="1" applyAlignment="1">
      <alignment/>
    </xf>
    <xf numFmtId="0" fontId="105" fillId="0" borderId="0" xfId="0" applyFont="1" applyFill="1" applyAlignment="1">
      <alignment/>
    </xf>
    <xf numFmtId="40" fontId="105" fillId="0" borderId="0" xfId="0" applyNumberFormat="1" applyFont="1" applyFill="1" applyBorder="1" applyAlignment="1">
      <alignment horizontal="left" vertical="center"/>
    </xf>
    <xf numFmtId="40" fontId="105" fillId="36" borderId="51" xfId="0" applyNumberFormat="1" applyFont="1" applyFill="1" applyBorder="1" applyAlignment="1">
      <alignment vertical="center"/>
    </xf>
    <xf numFmtId="0" fontId="105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164" fontId="4" fillId="36" borderId="16" xfId="54" applyNumberFormat="1" applyFont="1" applyFill="1" applyBorder="1" applyAlignment="1" applyProtection="1">
      <alignment vertical="center"/>
      <protection/>
    </xf>
    <xf numFmtId="165" fontId="0" fillId="0" borderId="0" xfId="54" applyFont="1" applyFill="1" applyAlignment="1">
      <alignment/>
    </xf>
    <xf numFmtId="4" fontId="23" fillId="0" borderId="0" xfId="0" applyNumberFormat="1" applyFont="1" applyFill="1" applyAlignment="1">
      <alignment horizontal="center" vertical="center"/>
    </xf>
    <xf numFmtId="165" fontId="2" fillId="0" borderId="0" xfId="54" applyFont="1" applyFill="1" applyAlignment="1">
      <alignment horizontal="center" vertical="center"/>
    </xf>
    <xf numFmtId="4" fontId="19" fillId="0" borderId="0" xfId="49" applyNumberFormat="1" applyFont="1" applyFill="1" applyBorder="1">
      <alignment/>
      <protection/>
    </xf>
    <xf numFmtId="165" fontId="19" fillId="0" borderId="0" xfId="49" applyNumberFormat="1" applyFont="1" applyFill="1" applyAlignment="1">
      <alignment horizontal="left" indent="7"/>
      <protection/>
    </xf>
    <xf numFmtId="43" fontId="13" fillId="0" borderId="0" xfId="0" applyNumberFormat="1" applyFont="1" applyAlignment="1">
      <alignment/>
    </xf>
    <xf numFmtId="0" fontId="18" fillId="36" borderId="0" xfId="48" applyFont="1" applyFill="1" applyAlignment="1">
      <alignment horizontal="center" vertical="center"/>
      <protection/>
    </xf>
    <xf numFmtId="43" fontId="18" fillId="36" borderId="0" xfId="48" applyNumberFormat="1" applyFont="1" applyFill="1" applyAlignment="1">
      <alignment horizontal="center" vertical="center"/>
      <protection/>
    </xf>
    <xf numFmtId="165" fontId="0" fillId="36" borderId="0" xfId="54" applyFont="1" applyFill="1" applyAlignment="1">
      <alignment horizontal="center" vertical="center"/>
    </xf>
    <xf numFmtId="165" fontId="18" fillId="36" borderId="0" xfId="48" applyNumberFormat="1" applyFont="1" applyFill="1" applyAlignment="1">
      <alignment horizontal="center" vertical="center"/>
      <protection/>
    </xf>
    <xf numFmtId="4" fontId="18" fillId="36" borderId="0" xfId="48" applyNumberFormat="1" applyFont="1" applyFill="1" applyAlignment="1">
      <alignment horizontal="center" vertical="center"/>
      <protection/>
    </xf>
    <xf numFmtId="0" fontId="23" fillId="36" borderId="0" xfId="48" applyFont="1" applyFill="1" applyAlignment="1">
      <alignment horizontal="center" vertical="center"/>
      <protection/>
    </xf>
    <xf numFmtId="43" fontId="23" fillId="36" borderId="0" xfId="48" applyNumberFormat="1" applyFont="1" applyFill="1" applyAlignment="1">
      <alignment horizontal="center" vertical="center"/>
      <protection/>
    </xf>
    <xf numFmtId="4" fontId="26" fillId="36" borderId="0" xfId="54" applyNumberFormat="1" applyFont="1" applyFill="1" applyBorder="1" applyAlignment="1" applyProtection="1">
      <alignment horizontal="right" vertical="center"/>
      <protection/>
    </xf>
    <xf numFmtId="0" fontId="18" fillId="0" borderId="61" xfId="48" applyFont="1" applyBorder="1" applyAlignment="1">
      <alignment horizontal="center" vertical="center"/>
      <protection/>
    </xf>
    <xf numFmtId="0" fontId="26" fillId="0" borderId="0" xfId="48" applyFont="1" applyFill="1" applyBorder="1" applyAlignment="1">
      <alignment horizontal="left" vertical="center"/>
      <protection/>
    </xf>
    <xf numFmtId="0" fontId="23" fillId="0" borderId="61" xfId="48" applyFont="1" applyBorder="1" applyAlignment="1">
      <alignment horizontal="center" vertical="center"/>
      <protection/>
    </xf>
    <xf numFmtId="0" fontId="19" fillId="0" borderId="61" xfId="48" applyFont="1" applyBorder="1" applyAlignment="1">
      <alignment horizontal="center" vertical="center"/>
      <protection/>
    </xf>
    <xf numFmtId="165" fontId="18" fillId="0" borderId="64" xfId="54" applyFont="1" applyFill="1" applyBorder="1" applyAlignment="1" applyProtection="1">
      <alignment vertical="center" wrapText="1"/>
      <protection/>
    </xf>
    <xf numFmtId="0" fontId="19" fillId="37" borderId="0" xfId="49" applyFont="1" applyFill="1">
      <alignment/>
      <protection/>
    </xf>
    <xf numFmtId="4" fontId="19" fillId="37" borderId="0" xfId="49" applyNumberFormat="1" applyFont="1" applyFill="1">
      <alignment/>
      <protection/>
    </xf>
    <xf numFmtId="0" fontId="26" fillId="37" borderId="0" xfId="49" applyFont="1" applyFill="1">
      <alignment/>
      <protection/>
    </xf>
    <xf numFmtId="165" fontId="11" fillId="37" borderId="0" xfId="56" applyFont="1" applyFill="1" applyAlignment="1">
      <alignment/>
    </xf>
    <xf numFmtId="4" fontId="26" fillId="0" borderId="65" xfId="49" applyNumberFormat="1" applyFont="1" applyFill="1" applyBorder="1" applyAlignment="1">
      <alignment horizontal="right" vertical="center"/>
      <protection/>
    </xf>
    <xf numFmtId="4" fontId="26" fillId="0" borderId="66" xfId="49" applyNumberFormat="1" applyFont="1" applyFill="1" applyBorder="1" applyAlignment="1">
      <alignment horizontal="right" vertical="center"/>
      <protection/>
    </xf>
    <xf numFmtId="4" fontId="19" fillId="0" borderId="14" xfId="49" applyNumberFormat="1" applyFont="1" applyFill="1" applyBorder="1" applyAlignment="1">
      <alignment horizontal="right" vertical="center"/>
      <protection/>
    </xf>
    <xf numFmtId="4" fontId="19" fillId="0" borderId="67" xfId="49" applyNumberFormat="1" applyFont="1" applyFill="1" applyBorder="1" applyAlignment="1">
      <alignment horizontal="right" vertical="center"/>
      <protection/>
    </xf>
    <xf numFmtId="4" fontId="26" fillId="0" borderId="12" xfId="49" applyNumberFormat="1" applyFont="1" applyFill="1" applyBorder="1" applyAlignment="1">
      <alignment horizontal="right" vertical="center"/>
      <protection/>
    </xf>
    <xf numFmtId="4" fontId="26" fillId="0" borderId="68" xfId="49" applyNumberFormat="1" applyFont="1" applyFill="1" applyBorder="1" applyAlignment="1">
      <alignment horizontal="right" vertical="center"/>
      <protection/>
    </xf>
    <xf numFmtId="165" fontId="23" fillId="36" borderId="15" xfId="59" applyNumberFormat="1" applyFont="1" applyFill="1" applyBorder="1" applyAlignment="1" applyProtection="1">
      <alignment horizontal="center" vertical="center"/>
      <protection/>
    </xf>
    <xf numFmtId="0" fontId="18" fillId="0" borderId="6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top"/>
    </xf>
    <xf numFmtId="165" fontId="23" fillId="0" borderId="61" xfId="59" applyNumberFormat="1" applyFont="1" applyFill="1" applyBorder="1" applyAlignment="1" applyProtection="1">
      <alignment horizontal="center" vertical="center"/>
      <protection/>
    </xf>
    <xf numFmtId="165" fontId="23" fillId="0" borderId="61" xfId="59" applyNumberFormat="1" applyFont="1" applyFill="1" applyBorder="1" applyAlignment="1" applyProtection="1">
      <alignment horizontal="right" vertical="center"/>
      <protection/>
    </xf>
    <xf numFmtId="165" fontId="18" fillId="0" borderId="61" xfId="59" applyNumberFormat="1" applyFont="1" applyFill="1" applyBorder="1" applyAlignment="1" applyProtection="1">
      <alignment horizontal="right" vertical="center"/>
      <protection/>
    </xf>
    <xf numFmtId="165" fontId="23" fillId="0" borderId="68" xfId="59" applyNumberFormat="1" applyFont="1" applyFill="1" applyBorder="1" applyAlignment="1" applyProtection="1">
      <alignment horizontal="right" vertical="center"/>
      <protection/>
    </xf>
    <xf numFmtId="0" fontId="18" fillId="0" borderId="61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165" fontId="23" fillId="0" borderId="11" xfId="59" applyNumberFormat="1" applyFont="1" applyFill="1" applyBorder="1" applyAlignment="1" applyProtection="1">
      <alignment horizontal="right" vertical="center"/>
      <protection/>
    </xf>
    <xf numFmtId="165" fontId="7" fillId="36" borderId="11" xfId="59" applyNumberFormat="1" applyFont="1" applyFill="1" applyBorder="1" applyAlignment="1" applyProtection="1">
      <alignment horizontal="right" vertical="center" wrapText="1"/>
      <protection/>
    </xf>
    <xf numFmtId="165" fontId="23" fillId="0" borderId="70" xfId="59" applyNumberFormat="1" applyFont="1" applyFill="1" applyBorder="1" applyAlignment="1" applyProtection="1">
      <alignment horizontal="right" vertical="center"/>
      <protection/>
    </xf>
    <xf numFmtId="0" fontId="18" fillId="0" borderId="60" xfId="0" applyFont="1" applyFill="1" applyBorder="1" applyAlignment="1">
      <alignment horizontal="center" vertical="center"/>
    </xf>
    <xf numFmtId="166" fontId="20" fillId="0" borderId="61" xfId="0" applyNumberFormat="1" applyFont="1" applyFill="1" applyBorder="1" applyAlignment="1">
      <alignment horizontal="right" vertical="center"/>
    </xf>
    <xf numFmtId="0" fontId="18" fillId="36" borderId="69" xfId="0" applyFont="1" applyFill="1" applyBorder="1" applyAlignment="1">
      <alignment horizontal="center" vertical="center"/>
    </xf>
    <xf numFmtId="0" fontId="18" fillId="36" borderId="71" xfId="0" applyFont="1" applyFill="1" applyBorder="1" applyAlignment="1">
      <alignment horizontal="center" vertical="top"/>
    </xf>
    <xf numFmtId="165" fontId="18" fillId="36" borderId="70" xfId="59" applyNumberFormat="1" applyFont="1" applyFill="1" applyBorder="1" applyAlignment="1" applyProtection="1">
      <alignment horizontal="center" vertical="center"/>
      <protection/>
    </xf>
    <xf numFmtId="165" fontId="18" fillId="36" borderId="26" xfId="59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>
      <alignment horizontal="center" vertical="center" wrapText="1"/>
    </xf>
    <xf numFmtId="165" fontId="0" fillId="0" borderId="68" xfId="59" applyNumberFormat="1" applyFont="1" applyFill="1" applyBorder="1" applyAlignment="1" applyProtection="1">
      <alignment horizontal="right" vertical="top" wrapText="1"/>
      <protection/>
    </xf>
    <xf numFmtId="0" fontId="18" fillId="0" borderId="69" xfId="0" applyFont="1" applyFill="1" applyBorder="1" applyAlignment="1">
      <alignment horizontal="center"/>
    </xf>
    <xf numFmtId="0" fontId="18" fillId="0" borderId="71" xfId="0" applyFont="1" applyFill="1" applyBorder="1" applyAlignment="1">
      <alignment horizontal="center"/>
    </xf>
    <xf numFmtId="165" fontId="23" fillId="0" borderId="50" xfId="59" applyNumberFormat="1" applyFont="1" applyFill="1" applyBorder="1" applyAlignment="1" applyProtection="1">
      <alignment horizontal="left" vertical="center" wrapText="1"/>
      <protection/>
    </xf>
    <xf numFmtId="165" fontId="23" fillId="0" borderId="70" xfId="59" applyNumberFormat="1" applyFont="1" applyFill="1" applyBorder="1" applyAlignment="1" applyProtection="1">
      <alignment horizontal="left" vertical="center" wrapText="1"/>
      <protection/>
    </xf>
    <xf numFmtId="165" fontId="18" fillId="0" borderId="26" xfId="59" applyNumberFormat="1" applyFont="1" applyFill="1" applyBorder="1" applyAlignment="1" applyProtection="1">
      <alignment horizontal="left" vertical="center" wrapText="1"/>
      <protection/>
    </xf>
    <xf numFmtId="165" fontId="23" fillId="0" borderId="26" xfId="59" applyNumberFormat="1" applyFont="1" applyFill="1" applyBorder="1" applyAlignment="1" applyProtection="1">
      <alignment horizontal="left" vertical="center" wrapText="1"/>
      <protection/>
    </xf>
    <xf numFmtId="165" fontId="23" fillId="0" borderId="68" xfId="59" applyNumberFormat="1" applyFont="1" applyFill="1" applyBorder="1" applyAlignment="1" applyProtection="1">
      <alignment horizontal="center" vertical="center" wrapText="1"/>
      <protection/>
    </xf>
    <xf numFmtId="0" fontId="18" fillId="0" borderId="50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165" fontId="23" fillId="0" borderId="71" xfId="59" applyNumberFormat="1" applyFont="1" applyFill="1" applyBorder="1" applyAlignment="1" applyProtection="1">
      <alignment horizontal="center" vertical="center"/>
      <protection/>
    </xf>
    <xf numFmtId="165" fontId="23" fillId="0" borderId="67" xfId="59" applyNumberFormat="1" applyFont="1" applyFill="1" applyBorder="1" applyAlignment="1" applyProtection="1">
      <alignment horizontal="center" vertical="center"/>
      <protection/>
    </xf>
    <xf numFmtId="0" fontId="18" fillId="0" borderId="69" xfId="0" applyFont="1" applyFill="1" applyBorder="1" applyAlignment="1">
      <alignment/>
    </xf>
    <xf numFmtId="165" fontId="23" fillId="36" borderId="0" xfId="59" applyNumberFormat="1" applyFont="1" applyFill="1" applyBorder="1" applyAlignment="1" applyProtection="1">
      <alignment horizontal="center" vertical="center"/>
      <protection/>
    </xf>
    <xf numFmtId="165" fontId="18" fillId="36" borderId="0" xfId="59" applyNumberFormat="1" applyFont="1" applyFill="1" applyBorder="1" applyAlignment="1" applyProtection="1">
      <alignment horizontal="center" vertical="center"/>
      <protection/>
    </xf>
    <xf numFmtId="0" fontId="18" fillId="0" borderId="70" xfId="0" applyFont="1" applyFill="1" applyBorder="1" applyAlignment="1">
      <alignment horizontal="center" wrapText="1"/>
    </xf>
    <xf numFmtId="165" fontId="23" fillId="0" borderId="70" xfId="54" applyFont="1" applyFill="1" applyBorder="1" applyAlignment="1" applyProtection="1">
      <alignment horizontal="center" vertical="center"/>
      <protection/>
    </xf>
    <xf numFmtId="165" fontId="23" fillId="36" borderId="26" xfId="54" applyFont="1" applyFill="1" applyBorder="1" applyAlignment="1" applyProtection="1">
      <alignment horizontal="center" vertical="center"/>
      <protection/>
    </xf>
    <xf numFmtId="165" fontId="18" fillId="0" borderId="26" xfId="54" applyFont="1" applyFill="1" applyBorder="1" applyAlignment="1" applyProtection="1">
      <alignment horizontal="center" vertical="center"/>
      <protection/>
    </xf>
    <xf numFmtId="165" fontId="18" fillId="0" borderId="26" xfId="54" applyNumberFormat="1" applyFont="1" applyFill="1" applyBorder="1" applyAlignment="1" applyProtection="1">
      <alignment horizontal="center" vertical="center"/>
      <protection/>
    </xf>
    <xf numFmtId="165" fontId="23" fillId="0" borderId="26" xfId="54" applyFont="1" applyFill="1" applyBorder="1" applyAlignment="1" applyProtection="1">
      <alignment horizontal="center" vertical="center"/>
      <protection/>
    </xf>
    <xf numFmtId="165" fontId="23" fillId="0" borderId="26" xfId="54" applyNumberFormat="1" applyFont="1" applyFill="1" applyBorder="1" applyAlignment="1" applyProtection="1">
      <alignment horizontal="center" vertical="center"/>
      <protection/>
    </xf>
    <xf numFmtId="165" fontId="18" fillId="0" borderId="26" xfId="56" applyFont="1" applyFill="1" applyBorder="1" applyAlignment="1" applyProtection="1">
      <alignment horizontal="center" vertical="center"/>
      <protection/>
    </xf>
    <xf numFmtId="165" fontId="18" fillId="0" borderId="50" xfId="54" applyFont="1" applyFill="1" applyBorder="1" applyAlignment="1" applyProtection="1">
      <alignment horizontal="center" vertical="center"/>
      <protection/>
    </xf>
    <xf numFmtId="165" fontId="23" fillId="0" borderId="50" xfId="54" applyFont="1" applyFill="1" applyBorder="1" applyAlignment="1" applyProtection="1">
      <alignment horizontal="right" vertical="center"/>
      <protection/>
    </xf>
    <xf numFmtId="49" fontId="22" fillId="0" borderId="51" xfId="0" applyNumberFormat="1" applyFont="1" applyFill="1" applyBorder="1" applyAlignment="1">
      <alignment vertical="center"/>
    </xf>
    <xf numFmtId="49" fontId="22" fillId="0" borderId="51" xfId="0" applyNumberFormat="1" applyFont="1" applyFill="1" applyBorder="1" applyAlignment="1">
      <alignment horizontal="left" vertical="center" indent="1"/>
    </xf>
    <xf numFmtId="49" fontId="20" fillId="0" borderId="51" xfId="0" applyNumberFormat="1" applyFont="1" applyFill="1" applyBorder="1" applyAlignment="1">
      <alignment horizontal="left" vertical="center" indent="2"/>
    </xf>
    <xf numFmtId="0" fontId="22" fillId="0" borderId="51" xfId="0" applyFont="1" applyFill="1" applyBorder="1" applyAlignment="1">
      <alignment horizontal="left" indent="1"/>
    </xf>
    <xf numFmtId="0" fontId="20" fillId="0" borderId="51" xfId="0" applyFont="1" applyFill="1" applyBorder="1" applyAlignment="1">
      <alignment horizontal="left" indent="2"/>
    </xf>
    <xf numFmtId="49" fontId="22" fillId="0" borderId="51" xfId="0" applyNumberFormat="1" applyFont="1" applyFill="1" applyBorder="1" applyAlignment="1">
      <alignment horizontal="left" vertical="center"/>
    </xf>
    <xf numFmtId="49" fontId="20" fillId="0" borderId="51" xfId="0" applyNumberFormat="1" applyFont="1" applyFill="1" applyBorder="1" applyAlignment="1">
      <alignment horizontal="left" vertical="center" indent="1"/>
    </xf>
    <xf numFmtId="49" fontId="22" fillId="0" borderId="72" xfId="0" applyNumberFormat="1" applyFont="1" applyFill="1" applyBorder="1" applyAlignment="1">
      <alignment vertical="center"/>
    </xf>
    <xf numFmtId="165" fontId="26" fillId="0" borderId="18" xfId="58" applyFont="1" applyFill="1" applyBorder="1" applyAlignment="1" applyProtection="1">
      <alignment horizontal="center" vertical="center" wrapText="1"/>
      <protection/>
    </xf>
    <xf numFmtId="4" fontId="26" fillId="0" borderId="16" xfId="49" applyNumberFormat="1" applyFont="1" applyFill="1" applyBorder="1" applyAlignment="1">
      <alignment horizontal="right" vertical="center"/>
      <protection/>
    </xf>
    <xf numFmtId="165" fontId="26" fillId="0" borderId="20" xfId="58" applyFont="1" applyFill="1" applyBorder="1" applyAlignment="1" applyProtection="1">
      <alignment horizontal="right" vertical="center"/>
      <protection/>
    </xf>
    <xf numFmtId="0" fontId="19" fillId="0" borderId="59" xfId="49" applyFont="1" applyBorder="1">
      <alignment/>
      <protection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40" fontId="13" fillId="0" borderId="57" xfId="0" applyNumberFormat="1" applyFont="1" applyFill="1" applyBorder="1" applyAlignment="1">
      <alignment vertical="center"/>
    </xf>
    <xf numFmtId="40" fontId="105" fillId="0" borderId="38" xfId="0" applyNumberFormat="1" applyFont="1" applyFill="1" applyBorder="1" applyAlignment="1">
      <alignment vertical="center"/>
    </xf>
    <xf numFmtId="40" fontId="13" fillId="0" borderId="73" xfId="0" applyNumberFormat="1" applyFont="1" applyFill="1" applyBorder="1" applyAlignment="1">
      <alignment vertical="center"/>
    </xf>
    <xf numFmtId="40" fontId="13" fillId="0" borderId="52" xfId="0" applyNumberFormat="1" applyFont="1" applyFill="1" applyBorder="1" applyAlignment="1">
      <alignment vertical="center"/>
    </xf>
    <xf numFmtId="40" fontId="105" fillId="0" borderId="51" xfId="0" applyNumberFormat="1" applyFont="1" applyFill="1" applyBorder="1" applyAlignment="1">
      <alignment vertical="center"/>
    </xf>
    <xf numFmtId="40" fontId="12" fillId="0" borderId="72" xfId="0" applyNumberFormat="1" applyFont="1" applyFill="1" applyBorder="1" applyAlignment="1">
      <alignment vertical="center"/>
    </xf>
    <xf numFmtId="40" fontId="13" fillId="36" borderId="46" xfId="0" applyNumberFormat="1" applyFont="1" applyFill="1" applyBorder="1" applyAlignment="1">
      <alignment vertical="center"/>
    </xf>
    <xf numFmtId="40" fontId="13" fillId="36" borderId="62" xfId="0" applyNumberFormat="1" applyFont="1" applyFill="1" applyBorder="1" applyAlignment="1">
      <alignment vertical="center"/>
    </xf>
    <xf numFmtId="165" fontId="13" fillId="0" borderId="27" xfId="54" applyFont="1" applyFill="1" applyBorder="1" applyAlignment="1" applyProtection="1">
      <alignment horizontal="center" vertical="center"/>
      <protection/>
    </xf>
    <xf numFmtId="165" fontId="19" fillId="0" borderId="67" xfId="58" applyFont="1" applyFill="1" applyBorder="1" applyAlignment="1" applyProtection="1">
      <alignment horizontal="right" vertical="center"/>
      <protection/>
    </xf>
    <xf numFmtId="4" fontId="19" fillId="0" borderId="19" xfId="49" applyNumberFormat="1" applyFont="1" applyFill="1" applyBorder="1" applyAlignment="1">
      <alignment horizontal="right"/>
      <protection/>
    </xf>
    <xf numFmtId="0" fontId="26" fillId="0" borderId="72" xfId="49" applyFont="1" applyFill="1" applyBorder="1" applyAlignment="1">
      <alignment horizontal="center" vertical="center"/>
      <protection/>
    </xf>
    <xf numFmtId="0" fontId="26" fillId="0" borderId="72" xfId="49" applyFont="1" applyFill="1" applyBorder="1" applyAlignment="1">
      <alignment horizontal="left" vertical="center"/>
      <protection/>
    </xf>
    <xf numFmtId="165" fontId="19" fillId="0" borderId="72" xfId="58" applyFont="1" applyFill="1" applyBorder="1" applyAlignment="1" applyProtection="1">
      <alignment horizontal="left" vertical="center"/>
      <protection/>
    </xf>
    <xf numFmtId="165" fontId="26" fillId="0" borderId="51" xfId="58" applyFont="1" applyFill="1" applyBorder="1" applyAlignment="1" applyProtection="1">
      <alignment horizontal="left" vertical="center"/>
      <protection/>
    </xf>
    <xf numFmtId="165" fontId="26" fillId="0" borderId="72" xfId="58" applyFont="1" applyFill="1" applyBorder="1" applyAlignment="1" applyProtection="1">
      <alignment horizontal="left" vertical="center"/>
      <protection/>
    </xf>
    <xf numFmtId="165" fontId="19" fillId="0" borderId="58" xfId="58" applyFont="1" applyFill="1" applyBorder="1" applyAlignment="1" applyProtection="1">
      <alignment horizontal="left" vertical="center"/>
      <protection/>
    </xf>
    <xf numFmtId="165" fontId="19" fillId="0" borderId="46" xfId="58" applyFont="1" applyFill="1" applyBorder="1" applyAlignment="1" applyProtection="1">
      <alignment horizontal="left" vertical="center"/>
      <protection/>
    </xf>
    <xf numFmtId="165" fontId="26" fillId="0" borderId="74" xfId="58" applyFont="1" applyFill="1" applyBorder="1" applyAlignment="1" applyProtection="1">
      <alignment horizontal="left" vertical="center"/>
      <protection/>
    </xf>
    <xf numFmtId="165" fontId="26" fillId="0" borderId="46" xfId="58" applyFont="1" applyFill="1" applyBorder="1" applyAlignment="1" applyProtection="1">
      <alignment horizontal="left" vertical="center"/>
      <protection/>
    </xf>
    <xf numFmtId="165" fontId="26" fillId="0" borderId="58" xfId="58" applyFont="1" applyFill="1" applyBorder="1" applyAlignment="1" applyProtection="1">
      <alignment horizontal="left" vertical="center"/>
      <protection/>
    </xf>
    <xf numFmtId="0" fontId="19" fillId="0" borderId="46" xfId="49" applyNumberFormat="1" applyFont="1" applyFill="1" applyBorder="1">
      <alignment/>
      <protection/>
    </xf>
    <xf numFmtId="49" fontId="26" fillId="0" borderId="72" xfId="49" applyNumberFormat="1" applyFont="1" applyFill="1" applyBorder="1" applyAlignment="1">
      <alignment horizontal="center" vertical="center"/>
      <protection/>
    </xf>
    <xf numFmtId="165" fontId="18" fillId="0" borderId="20" xfId="56" applyFont="1" applyFill="1" applyBorder="1" applyAlignment="1" applyProtection="1">
      <alignment vertical="center" wrapText="1"/>
      <protection/>
    </xf>
    <xf numFmtId="0" fontId="18" fillId="0" borderId="12" xfId="0" applyFont="1" applyFill="1" applyBorder="1" applyAlignment="1">
      <alignment vertical="center"/>
    </xf>
    <xf numFmtId="177" fontId="12" fillId="0" borderId="0" xfId="0" applyNumberFormat="1" applyFont="1" applyFill="1" applyAlignment="1">
      <alignment/>
    </xf>
    <xf numFmtId="4" fontId="19" fillId="0" borderId="59" xfId="49" applyNumberFormat="1" applyFont="1" applyBorder="1" applyAlignment="1">
      <alignment vertical="center"/>
      <protection/>
    </xf>
    <xf numFmtId="165" fontId="0" fillId="0" borderId="0" xfId="54" applyFont="1" applyFill="1" applyBorder="1" applyAlignment="1">
      <alignment horizontal="center" vertical="center"/>
    </xf>
    <xf numFmtId="165" fontId="18" fillId="36" borderId="75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4" fillId="0" borderId="16" xfId="54" applyFont="1" applyFill="1" applyBorder="1" applyAlignment="1" applyProtection="1">
      <alignment horizontal="center" vertical="center"/>
      <protection/>
    </xf>
    <xf numFmtId="165" fontId="23" fillId="0" borderId="71" xfId="0" applyNumberFormat="1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165" fontId="23" fillId="0" borderId="14" xfId="0" applyNumberFormat="1" applyFont="1" applyFill="1" applyBorder="1" applyAlignment="1">
      <alignment horizontal="center" vertical="top" wrapText="1"/>
    </xf>
    <xf numFmtId="165" fontId="13" fillId="0" borderId="26" xfId="54" applyFont="1" applyFill="1" applyBorder="1" applyAlignment="1" applyProtection="1">
      <alignment horizontal="center" vertical="center"/>
      <protection/>
    </xf>
    <xf numFmtId="165" fontId="18" fillId="0" borderId="72" xfId="56" applyFont="1" applyFill="1" applyBorder="1" applyAlignment="1" applyProtection="1">
      <alignment vertical="center" wrapText="1"/>
      <protection/>
    </xf>
    <xf numFmtId="0" fontId="13" fillId="0" borderId="68" xfId="0" applyFont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165" fontId="19" fillId="0" borderId="26" xfId="54" applyFont="1" applyFill="1" applyBorder="1" applyAlignment="1" applyProtection="1">
      <alignment vertical="center"/>
      <protection/>
    </xf>
    <xf numFmtId="165" fontId="26" fillId="0" borderId="26" xfId="54" applyFont="1" applyFill="1" applyBorder="1" applyAlignment="1" applyProtection="1">
      <alignment vertical="center"/>
      <protection/>
    </xf>
    <xf numFmtId="165" fontId="19" fillId="0" borderId="40" xfId="54" applyFont="1" applyFill="1" applyBorder="1" applyAlignment="1" applyProtection="1">
      <alignment vertical="center"/>
      <protection/>
    </xf>
    <xf numFmtId="0" fontId="19" fillId="0" borderId="40" xfId="0" applyFont="1" applyFill="1" applyBorder="1" applyAlignment="1">
      <alignment vertical="center"/>
    </xf>
    <xf numFmtId="0" fontId="19" fillId="0" borderId="50" xfId="0" applyFont="1" applyFill="1" applyBorder="1" applyAlignment="1">
      <alignment horizontal="center" vertical="center"/>
    </xf>
    <xf numFmtId="165" fontId="12" fillId="0" borderId="26" xfId="54" applyFont="1" applyFill="1" applyBorder="1" applyAlignment="1" applyProtection="1">
      <alignment horizontal="center" vertical="center"/>
      <protection/>
    </xf>
    <xf numFmtId="165" fontId="12" fillId="0" borderId="68" xfId="54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4" fontId="12" fillId="0" borderId="16" xfId="0" applyNumberFormat="1" applyFont="1" applyBorder="1" applyAlignment="1">
      <alignment horizontal="right" vertical="center"/>
    </xf>
    <xf numFmtId="4" fontId="12" fillId="0" borderId="2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2" fillId="0" borderId="2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165" fontId="12" fillId="0" borderId="19" xfId="54" applyFont="1" applyFill="1" applyBorder="1" applyAlignment="1" applyProtection="1">
      <alignment horizontal="left" vertical="center"/>
      <protection/>
    </xf>
    <xf numFmtId="165" fontId="12" fillId="0" borderId="17" xfId="54" applyFont="1" applyFill="1" applyBorder="1" applyAlignment="1" applyProtection="1">
      <alignment horizontal="left" vertical="center"/>
      <protection/>
    </xf>
    <xf numFmtId="165" fontId="12" fillId="0" borderId="24" xfId="54" applyFont="1" applyFill="1" applyBorder="1" applyAlignment="1" applyProtection="1">
      <alignment horizontal="center" vertical="center"/>
      <protection/>
    </xf>
    <xf numFmtId="165" fontId="13" fillId="0" borderId="73" xfId="54" applyFont="1" applyFill="1" applyBorder="1" applyAlignment="1" applyProtection="1">
      <alignment horizontal="center" vertical="center"/>
      <protection/>
    </xf>
    <xf numFmtId="165" fontId="13" fillId="0" borderId="38" xfId="54" applyFont="1" applyFill="1" applyBorder="1" applyAlignment="1" applyProtection="1">
      <alignment horizontal="center" vertical="center"/>
      <protection/>
    </xf>
    <xf numFmtId="9" fontId="13" fillId="0" borderId="49" xfId="0" applyNumberFormat="1" applyFont="1" applyBorder="1" applyAlignment="1">
      <alignment horizontal="center" vertical="center"/>
    </xf>
    <xf numFmtId="165" fontId="19" fillId="0" borderId="16" xfId="0" applyNumberFormat="1" applyFont="1" applyFill="1" applyBorder="1" applyAlignment="1">
      <alignment vertical="center"/>
    </xf>
    <xf numFmtId="165" fontId="19" fillId="0" borderId="26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37" fontId="26" fillId="0" borderId="15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37" fontId="26" fillId="0" borderId="10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70" xfId="0" applyFont="1" applyFill="1" applyBorder="1" applyAlignment="1">
      <alignment vertical="center"/>
    </xf>
    <xf numFmtId="0" fontId="26" fillId="0" borderId="76" xfId="0" applyFont="1" applyFill="1" applyBorder="1" applyAlignment="1">
      <alignment vertical="center"/>
    </xf>
    <xf numFmtId="165" fontId="26" fillId="0" borderId="39" xfId="54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12" fillId="0" borderId="49" xfId="0" applyFont="1" applyBorder="1" applyAlignment="1">
      <alignment horizontal="left" vertical="center"/>
    </xf>
    <xf numFmtId="4" fontId="19" fillId="36" borderId="21" xfId="54" applyNumberFormat="1" applyFont="1" applyFill="1" applyBorder="1" applyAlignment="1" applyProtection="1">
      <alignment horizontal="right" vertical="center"/>
      <protection/>
    </xf>
    <xf numFmtId="40" fontId="12" fillId="0" borderId="0" xfId="54" applyNumberFormat="1" applyFont="1" applyFill="1" applyBorder="1" applyAlignment="1" applyProtection="1">
      <alignment vertical="center"/>
      <protection/>
    </xf>
    <xf numFmtId="40" fontId="12" fillId="36" borderId="77" xfId="54" applyNumberFormat="1" applyFont="1" applyFill="1" applyBorder="1" applyAlignment="1" applyProtection="1">
      <alignment horizontal="right" vertical="center"/>
      <protection/>
    </xf>
    <xf numFmtId="40" fontId="12" fillId="0" borderId="26" xfId="54" applyNumberFormat="1" applyFont="1" applyFill="1" applyBorder="1" applyAlignment="1" applyProtection="1">
      <alignment vertical="center"/>
      <protection/>
    </xf>
    <xf numFmtId="40" fontId="12" fillId="36" borderId="38" xfId="0" applyNumberFormat="1" applyFont="1" applyFill="1" applyBorder="1" applyAlignment="1">
      <alignment vertical="center"/>
    </xf>
    <xf numFmtId="40" fontId="12" fillId="36" borderId="77" xfId="0" applyNumberFormat="1" applyFont="1" applyFill="1" applyBorder="1" applyAlignment="1">
      <alignment vertical="center"/>
    </xf>
    <xf numFmtId="40" fontId="12" fillId="36" borderId="26" xfId="0" applyNumberFormat="1" applyFont="1" applyFill="1" applyBorder="1" applyAlignment="1">
      <alignment vertical="center"/>
    </xf>
    <xf numFmtId="40" fontId="12" fillId="0" borderId="38" xfId="0" applyNumberFormat="1" applyFont="1" applyFill="1" applyBorder="1" applyAlignment="1">
      <alignment vertical="center"/>
    </xf>
    <xf numFmtId="4" fontId="26" fillId="0" borderId="59" xfId="49" applyNumberFormat="1" applyFont="1" applyBorder="1" applyAlignment="1">
      <alignment vertical="center"/>
      <protection/>
    </xf>
    <xf numFmtId="4" fontId="26" fillId="0" borderId="0" xfId="49" applyNumberFormat="1" applyFont="1" applyFill="1" applyAlignment="1">
      <alignment vertical="center"/>
      <protection/>
    </xf>
    <xf numFmtId="165" fontId="3" fillId="0" borderId="15" xfId="54" applyFont="1" applyFill="1" applyBorder="1" applyAlignment="1" applyProtection="1" quotePrefix="1">
      <alignment horizontal="left" vertical="center"/>
      <protection/>
    </xf>
    <xf numFmtId="166" fontId="18" fillId="0" borderId="23" xfId="0" applyNumberFormat="1" applyFont="1" applyFill="1" applyBorder="1" applyAlignment="1">
      <alignment horizontal="right"/>
    </xf>
    <xf numFmtId="0" fontId="18" fillId="0" borderId="23" xfId="0" applyFont="1" applyFill="1" applyBorder="1" applyAlignment="1">
      <alignment horizontal="right" vertical="center"/>
    </xf>
    <xf numFmtId="165" fontId="23" fillId="0" borderId="68" xfId="56" applyFont="1" applyFill="1" applyBorder="1" applyAlignment="1" applyProtection="1">
      <alignment vertical="center" wrapText="1"/>
      <protection/>
    </xf>
    <xf numFmtId="16" fontId="18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16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/>
    </xf>
    <xf numFmtId="37" fontId="18" fillId="0" borderId="61" xfId="0" applyNumberFormat="1" applyFont="1" applyFill="1" applyBorder="1" applyAlignment="1">
      <alignment/>
    </xf>
    <xf numFmtId="0" fontId="18" fillId="0" borderId="61" xfId="0" applyFont="1" applyFill="1" applyBorder="1" applyAlignment="1">
      <alignment/>
    </xf>
    <xf numFmtId="0" fontId="18" fillId="0" borderId="61" xfId="0" applyFont="1" applyFill="1" applyBorder="1" applyAlignment="1">
      <alignment/>
    </xf>
    <xf numFmtId="0" fontId="18" fillId="0" borderId="71" xfId="0" applyFont="1" applyFill="1" applyBorder="1" applyAlignment="1">
      <alignment/>
    </xf>
    <xf numFmtId="165" fontId="18" fillId="0" borderId="16" xfId="56" applyFont="1" applyFill="1" applyBorder="1" applyAlignment="1" applyProtection="1">
      <alignment horizontal="right" vertical="center" wrapText="1"/>
      <protection/>
    </xf>
    <xf numFmtId="165" fontId="18" fillId="0" borderId="61" xfId="56" applyFont="1" applyFill="1" applyBorder="1" applyAlignment="1" applyProtection="1">
      <alignment horizontal="right" vertical="center" wrapText="1"/>
      <protection/>
    </xf>
    <xf numFmtId="165" fontId="18" fillId="0" borderId="61" xfId="56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18" fillId="0" borderId="0" xfId="48" applyFont="1" applyFill="1" applyBorder="1" applyAlignment="1">
      <alignment horizontal="left"/>
      <protection/>
    </xf>
    <xf numFmtId="166" fontId="19" fillId="0" borderId="0" xfId="48" applyNumberFormat="1" applyFont="1" applyFill="1" applyBorder="1" applyAlignment="1">
      <alignment horizontal="right" vertical="center"/>
      <protection/>
    </xf>
    <xf numFmtId="49" fontId="19" fillId="0" borderId="68" xfId="48" applyNumberFormat="1" applyFont="1" applyFill="1" applyBorder="1" applyAlignment="1">
      <alignment horizontal="center" vertical="center" wrapText="1"/>
      <protection/>
    </xf>
    <xf numFmtId="165" fontId="26" fillId="0" borderId="70" xfId="57" applyFont="1" applyFill="1" applyBorder="1" applyAlignment="1" applyProtection="1">
      <alignment horizontal="right" vertical="center"/>
      <protection/>
    </xf>
    <xf numFmtId="165" fontId="26" fillId="0" borderId="38" xfId="57" applyFont="1" applyFill="1" applyBorder="1" applyAlignment="1" applyProtection="1">
      <alignment horizontal="right" vertical="center"/>
      <protection/>
    </xf>
    <xf numFmtId="165" fontId="19" fillId="0" borderId="26" xfId="57" applyFont="1" applyFill="1" applyBorder="1" applyAlignment="1" applyProtection="1">
      <alignment horizontal="right" vertical="center"/>
      <protection/>
    </xf>
    <xf numFmtId="165" fontId="19" fillId="0" borderId="26" xfId="56" applyFont="1" applyFill="1" applyBorder="1" applyAlignment="1" applyProtection="1">
      <alignment horizontal="right" vertical="center"/>
      <protection/>
    </xf>
    <xf numFmtId="165" fontId="26" fillId="0" borderId="26" xfId="57" applyFont="1" applyFill="1" applyBorder="1" applyAlignment="1" applyProtection="1">
      <alignment horizontal="right" vertical="center"/>
      <protection/>
    </xf>
    <xf numFmtId="165" fontId="19" fillId="0" borderId="38" xfId="57" applyFont="1" applyFill="1" applyBorder="1" applyAlignment="1" applyProtection="1">
      <alignment horizontal="right" vertical="center"/>
      <protection/>
    </xf>
    <xf numFmtId="4" fontId="26" fillId="0" borderId="38" xfId="54" applyNumberFormat="1" applyFont="1" applyFill="1" applyBorder="1" applyAlignment="1" applyProtection="1">
      <alignment horizontal="right" vertical="center"/>
      <protection/>
    </xf>
    <xf numFmtId="165" fontId="26" fillId="0" borderId="59" xfId="57" applyFont="1" applyFill="1" applyBorder="1" applyAlignment="1" applyProtection="1">
      <alignment horizontal="right" vertical="center"/>
      <protection/>
    </xf>
    <xf numFmtId="165" fontId="26" fillId="0" borderId="50" xfId="57" applyFont="1" applyFill="1" applyBorder="1" applyAlignment="1" applyProtection="1">
      <alignment horizontal="right" vertical="center"/>
      <protection/>
    </xf>
    <xf numFmtId="165" fontId="18" fillId="0" borderId="0" xfId="48" applyNumberFormat="1" applyFont="1" applyFill="1" applyBorder="1" applyAlignment="1">
      <alignment horizontal="center" vertical="center"/>
      <protection/>
    </xf>
    <xf numFmtId="165" fontId="26" fillId="0" borderId="70" xfId="57" applyFont="1" applyFill="1" applyBorder="1" applyAlignment="1" applyProtection="1">
      <alignment horizontal="right" vertical="center" wrapText="1"/>
      <protection/>
    </xf>
    <xf numFmtId="165" fontId="26" fillId="0" borderId="26" xfId="57" applyFont="1" applyFill="1" applyBorder="1" applyAlignment="1" applyProtection="1">
      <alignment horizontal="right" vertical="center" wrapText="1"/>
      <protection/>
    </xf>
    <xf numFmtId="165" fontId="19" fillId="0" borderId="38" xfId="57" applyFont="1" applyFill="1" applyBorder="1" applyAlignment="1" applyProtection="1">
      <alignment horizontal="right" vertical="center" wrapText="1"/>
      <protection/>
    </xf>
    <xf numFmtId="165" fontId="19" fillId="0" borderId="26" xfId="57" applyFont="1" applyFill="1" applyBorder="1" applyAlignment="1" applyProtection="1">
      <alignment horizontal="right" vertical="center" wrapText="1"/>
      <protection/>
    </xf>
    <xf numFmtId="165" fontId="19" fillId="0" borderId="50" xfId="57" applyFont="1" applyFill="1" applyBorder="1" applyAlignment="1" applyProtection="1">
      <alignment horizontal="right" vertical="center"/>
      <protection/>
    </xf>
    <xf numFmtId="165" fontId="26" fillId="0" borderId="68" xfId="57" applyFont="1" applyFill="1" applyBorder="1" applyAlignment="1" applyProtection="1">
      <alignment horizontal="right" vertical="center"/>
      <protection/>
    </xf>
    <xf numFmtId="165" fontId="18" fillId="0" borderId="75" xfId="57" applyFont="1" applyFill="1" applyBorder="1" applyAlignment="1" applyProtection="1">
      <alignment horizontal="right" vertical="center"/>
      <protection/>
    </xf>
    <xf numFmtId="165" fontId="23" fillId="0" borderId="68" xfId="57" applyFont="1" applyFill="1" applyBorder="1" applyAlignment="1" applyProtection="1">
      <alignment horizontal="center" vertical="center"/>
      <protection/>
    </xf>
    <xf numFmtId="167" fontId="13" fillId="0" borderId="0" xfId="0" applyNumberFormat="1" applyFont="1" applyBorder="1" applyAlignment="1">
      <alignment vertical="center"/>
    </xf>
    <xf numFmtId="0" fontId="18" fillId="0" borderId="71" xfId="0" applyFont="1" applyFill="1" applyBorder="1" applyAlignment="1">
      <alignment horizontal="center" vertical="center"/>
    </xf>
    <xf numFmtId="43" fontId="13" fillId="0" borderId="69" xfId="0" applyNumberFormat="1" applyFont="1" applyFill="1" applyBorder="1" applyAlignment="1">
      <alignment horizontal="center" vertical="center"/>
    </xf>
    <xf numFmtId="165" fontId="13" fillId="0" borderId="41" xfId="54" applyFont="1" applyFill="1" applyBorder="1" applyAlignment="1" applyProtection="1">
      <alignment horizontal="center" vertical="center"/>
      <protection/>
    </xf>
    <xf numFmtId="165" fontId="18" fillId="0" borderId="39" xfId="59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 wrapText="1"/>
    </xf>
    <xf numFmtId="165" fontId="12" fillId="0" borderId="78" xfId="54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quotePrefix="1">
      <alignment horizontal="center" vertical="center"/>
    </xf>
    <xf numFmtId="165" fontId="18" fillId="36" borderId="68" xfId="0" applyNumberFormat="1" applyFont="1" applyFill="1" applyBorder="1" applyAlignment="1">
      <alignment vertical="center" wrapText="1"/>
    </xf>
    <xf numFmtId="0" fontId="18" fillId="0" borderId="68" xfId="0" applyFont="1" applyFill="1" applyBorder="1" applyAlignment="1">
      <alignment horizontal="left" vertical="top" wrapText="1"/>
    </xf>
    <xf numFmtId="165" fontId="18" fillId="36" borderId="10" xfId="59" applyNumberFormat="1" applyFont="1" applyFill="1" applyBorder="1" applyAlignment="1" applyProtection="1">
      <alignment horizontal="center"/>
      <protection/>
    </xf>
    <xf numFmtId="165" fontId="18" fillId="36" borderId="17" xfId="59" applyNumberFormat="1" applyFont="1" applyFill="1" applyBorder="1" applyAlignment="1" applyProtection="1">
      <alignment horizontal="center" vertical="center"/>
      <protection/>
    </xf>
    <xf numFmtId="165" fontId="2" fillId="0" borderId="71" xfId="59" applyNumberFormat="1" applyFont="1" applyFill="1" applyBorder="1" applyAlignment="1" applyProtection="1">
      <alignment horizontal="right" vertical="center" wrapText="1"/>
      <protection/>
    </xf>
    <xf numFmtId="165" fontId="23" fillId="36" borderId="19" xfId="0" applyNumberFormat="1" applyFont="1" applyFill="1" applyBorder="1" applyAlignment="1">
      <alignment horizontal="center" vertical="center"/>
    </xf>
    <xf numFmtId="165" fontId="23" fillId="36" borderId="68" xfId="59" applyNumberFormat="1" applyFont="1" applyFill="1" applyBorder="1" applyAlignment="1" applyProtection="1">
      <alignment horizontal="center" vertical="center"/>
      <protection/>
    </xf>
    <xf numFmtId="40" fontId="12" fillId="0" borderId="0" xfId="0" applyNumberFormat="1" applyFont="1" applyFill="1" applyBorder="1" applyAlignment="1">
      <alignment/>
    </xf>
    <xf numFmtId="40" fontId="12" fillId="0" borderId="11" xfId="54" applyNumberFormat="1" applyFont="1" applyFill="1" applyBorder="1" applyAlignment="1" applyProtection="1">
      <alignment horizontal="right" vertical="center"/>
      <protection/>
    </xf>
    <xf numFmtId="165" fontId="4" fillId="0" borderId="20" xfId="54" applyFont="1" applyFill="1" applyBorder="1" applyAlignment="1" applyProtection="1">
      <alignment horizontal="center" vertical="center"/>
      <protection/>
    </xf>
    <xf numFmtId="165" fontId="4" fillId="0" borderId="12" xfId="54" applyFont="1" applyFill="1" applyBorder="1" applyAlignment="1" applyProtection="1">
      <alignment horizontal="center" vertical="center"/>
      <protection/>
    </xf>
    <xf numFmtId="165" fontId="4" fillId="0" borderId="13" xfId="54" applyFont="1" applyFill="1" applyBorder="1" applyAlignment="1" applyProtection="1">
      <alignment horizontal="center" vertical="center"/>
      <protection/>
    </xf>
    <xf numFmtId="165" fontId="3" fillId="0" borderId="0" xfId="54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indent="7"/>
    </xf>
    <xf numFmtId="165" fontId="3" fillId="0" borderId="20" xfId="54" applyFont="1" applyFill="1" applyBorder="1" applyAlignment="1" applyProtection="1">
      <alignment horizontal="center" vertical="center"/>
      <protection/>
    </xf>
    <xf numFmtId="165" fontId="3" fillId="0" borderId="10" xfId="54" applyFont="1" applyFill="1" applyBorder="1" applyAlignment="1" applyProtection="1">
      <alignment horizontal="center" wrapText="1"/>
      <protection/>
    </xf>
    <xf numFmtId="165" fontId="3" fillId="0" borderId="10" xfId="54" applyFont="1" applyFill="1" applyBorder="1" applyAlignment="1" applyProtection="1">
      <alignment horizontal="center" vertical="center" wrapText="1"/>
      <protection/>
    </xf>
    <xf numFmtId="165" fontId="3" fillId="0" borderId="17" xfId="54" applyFont="1" applyFill="1" applyBorder="1" applyAlignment="1" applyProtection="1">
      <alignment horizontal="center" wrapText="1"/>
      <protection/>
    </xf>
    <xf numFmtId="165" fontId="3" fillId="0" borderId="17" xfId="54" applyFont="1" applyFill="1" applyBorder="1" applyAlignment="1" applyProtection="1">
      <alignment horizontal="center" vertical="center" wrapText="1"/>
      <protection/>
    </xf>
    <xf numFmtId="165" fontId="4" fillId="0" borderId="20" xfId="54" applyFont="1" applyFill="1" applyBorder="1" applyAlignment="1" applyProtection="1">
      <alignment horizontal="center" vertical="center" wrapText="1"/>
      <protection/>
    </xf>
    <xf numFmtId="165" fontId="4" fillId="0" borderId="13" xfId="54" applyFont="1" applyFill="1" applyBorder="1" applyAlignment="1" applyProtection="1">
      <alignment horizontal="center" vertical="center" wrapText="1"/>
      <protection/>
    </xf>
    <xf numFmtId="165" fontId="4" fillId="0" borderId="19" xfId="54" applyFont="1" applyFill="1" applyBorder="1" applyAlignment="1" applyProtection="1">
      <alignment horizontal="center" vertical="center" wrapText="1"/>
      <protection/>
    </xf>
    <xf numFmtId="165" fontId="4" fillId="0" borderId="10" xfId="54" applyFont="1" applyFill="1" applyBorder="1" applyAlignment="1" applyProtection="1">
      <alignment horizontal="center" vertical="center"/>
      <protection/>
    </xf>
    <xf numFmtId="165" fontId="4" fillId="36" borderId="15" xfId="54" applyFont="1" applyFill="1" applyBorder="1" applyAlignment="1" applyProtection="1">
      <alignment horizontal="center" vertical="center"/>
      <protection/>
    </xf>
    <xf numFmtId="165" fontId="4" fillId="0" borderId="15" xfId="54" applyFont="1" applyFill="1" applyBorder="1" applyAlignment="1" applyProtection="1">
      <alignment horizontal="center" vertical="center"/>
      <protection/>
    </xf>
    <xf numFmtId="43" fontId="3" fillId="36" borderId="16" xfId="54" applyNumberFormat="1" applyFont="1" applyFill="1" applyBorder="1" applyAlignment="1" applyProtection="1">
      <alignment horizontal="center" vertical="center"/>
      <protection/>
    </xf>
    <xf numFmtId="164" fontId="3" fillId="36" borderId="21" xfId="54" applyNumberFormat="1" applyFont="1" applyFill="1" applyBorder="1" applyAlignment="1" applyProtection="1">
      <alignment horizontal="center" vertical="center"/>
      <protection/>
    </xf>
    <xf numFmtId="165" fontId="3" fillId="0" borderId="15" xfId="54" applyFont="1" applyFill="1" applyBorder="1" applyAlignment="1" applyProtection="1">
      <alignment horizontal="center" vertical="center"/>
      <protection/>
    </xf>
    <xf numFmtId="164" fontId="4" fillId="36" borderId="16" xfId="54" applyNumberFormat="1" applyFont="1" applyFill="1" applyBorder="1" applyAlignment="1" applyProtection="1">
      <alignment horizontal="center" vertical="center"/>
      <protection/>
    </xf>
    <xf numFmtId="164" fontId="4" fillId="36" borderId="21" xfId="54" applyNumberFormat="1" applyFont="1" applyFill="1" applyBorder="1" applyAlignment="1" applyProtection="1">
      <alignment horizontal="center" vertical="center"/>
      <protection/>
    </xf>
    <xf numFmtId="165" fontId="4" fillId="36" borderId="16" xfId="54" applyFont="1" applyFill="1" applyBorder="1" applyAlignment="1" applyProtection="1">
      <alignment horizontal="center" vertical="center"/>
      <protection/>
    </xf>
    <xf numFmtId="165" fontId="4" fillId="36" borderId="21" xfId="54" applyFont="1" applyFill="1" applyBorder="1" applyAlignment="1" applyProtection="1">
      <alignment horizontal="center" vertical="center"/>
      <protection/>
    </xf>
    <xf numFmtId="165" fontId="4" fillId="0" borderId="18" xfId="54" applyFont="1" applyFill="1" applyBorder="1" applyAlignment="1" applyProtection="1">
      <alignment horizontal="right" vertical="center"/>
      <protection/>
    </xf>
    <xf numFmtId="165" fontId="4" fillId="0" borderId="23" xfId="54" applyFont="1" applyFill="1" applyBorder="1" applyAlignment="1" applyProtection="1">
      <alignment horizontal="right" vertical="center"/>
      <protection/>
    </xf>
    <xf numFmtId="165" fontId="4" fillId="0" borderId="24" xfId="54" applyFont="1" applyFill="1" applyBorder="1" applyAlignment="1" applyProtection="1">
      <alignment horizontal="right" vertical="center"/>
      <protection/>
    </xf>
    <xf numFmtId="165" fontId="4" fillId="36" borderId="55" xfId="54" applyFont="1" applyFill="1" applyBorder="1" applyAlignment="1" applyProtection="1">
      <alignment horizontal="center" vertical="center"/>
      <protection/>
    </xf>
    <xf numFmtId="165" fontId="4" fillId="0" borderId="19" xfId="54" applyFont="1" applyFill="1" applyBorder="1" applyAlignment="1" applyProtection="1">
      <alignment horizontal="center" vertical="center"/>
      <protection/>
    </xf>
    <xf numFmtId="165" fontId="4" fillId="0" borderId="16" xfId="54" applyFont="1" applyFill="1" applyBorder="1" applyAlignment="1" applyProtection="1">
      <alignment horizontal="center" vertical="center"/>
      <protection/>
    </xf>
    <xf numFmtId="165" fontId="4" fillId="0" borderId="61" xfId="54" applyFont="1" applyFill="1" applyBorder="1" applyAlignment="1" applyProtection="1">
      <alignment horizontal="center" vertical="center"/>
      <protection/>
    </xf>
    <xf numFmtId="165" fontId="3" fillId="0" borderId="17" xfId="54" applyFont="1" applyFill="1" applyBorder="1" applyAlignment="1" applyProtection="1">
      <alignment horizontal="center" vertical="center"/>
      <protection/>
    </xf>
    <xf numFmtId="165" fontId="4" fillId="0" borderId="19" xfId="54" applyFont="1" applyFill="1" applyBorder="1" applyAlignment="1" applyProtection="1">
      <alignment horizontal="right" vertical="center"/>
      <protection/>
    </xf>
    <xf numFmtId="165" fontId="3" fillId="0" borderId="19" xfId="54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left"/>
    </xf>
    <xf numFmtId="165" fontId="3" fillId="0" borderId="0" xfId="54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right"/>
    </xf>
    <xf numFmtId="49" fontId="3" fillId="0" borderId="0" xfId="0" applyNumberFormat="1" applyFont="1" applyFill="1" applyAlignment="1">
      <alignment horizontal="center"/>
    </xf>
    <xf numFmtId="49" fontId="13" fillId="0" borderId="2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165" fontId="3" fillId="0" borderId="11" xfId="54" applyFont="1" applyFill="1" applyBorder="1" applyAlignment="1" applyProtection="1">
      <alignment horizontal="center" vertical="center" wrapText="1"/>
      <protection/>
    </xf>
    <xf numFmtId="165" fontId="2" fillId="0" borderId="19" xfId="54" applyFont="1" applyFill="1" applyBorder="1" applyAlignment="1" applyProtection="1">
      <alignment horizontal="center" vertical="center" wrapText="1"/>
      <protection/>
    </xf>
    <xf numFmtId="40" fontId="13" fillId="0" borderId="23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indent="6"/>
    </xf>
    <xf numFmtId="0" fontId="12" fillId="0" borderId="22" xfId="0" applyFont="1" applyFill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center" vertical="center" wrapText="1"/>
    </xf>
    <xf numFmtId="40" fontId="12" fillId="0" borderId="14" xfId="0" applyNumberFormat="1" applyFont="1" applyFill="1" applyBorder="1" applyAlignment="1">
      <alignment horizontal="left" vertical="center"/>
    </xf>
    <xf numFmtId="40" fontId="13" fillId="0" borderId="0" xfId="0" applyNumberFormat="1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/>
    </xf>
    <xf numFmtId="165" fontId="8" fillId="0" borderId="19" xfId="54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0" fontId="12" fillId="0" borderId="0" xfId="0" applyNumberFormat="1" applyFont="1" applyFill="1" applyBorder="1" applyAlignment="1">
      <alignment horizontal="left" vertical="center"/>
    </xf>
    <xf numFmtId="40" fontId="105" fillId="0" borderId="0" xfId="0" applyNumberFormat="1" applyFont="1" applyFill="1" applyBorder="1" applyAlignment="1">
      <alignment horizontal="left" vertical="center"/>
    </xf>
    <xf numFmtId="40" fontId="13" fillId="0" borderId="24" xfId="0" applyNumberFormat="1" applyFont="1" applyFill="1" applyBorder="1" applyAlignment="1">
      <alignment horizontal="left" vertical="center"/>
    </xf>
    <xf numFmtId="40" fontId="13" fillId="0" borderId="21" xfId="0" applyNumberFormat="1" applyFont="1" applyFill="1" applyBorder="1" applyAlignment="1">
      <alignment horizontal="left" vertical="center"/>
    </xf>
    <xf numFmtId="40" fontId="12" fillId="0" borderId="22" xfId="0" applyNumberFormat="1" applyFont="1" applyFill="1" applyBorder="1" applyAlignment="1">
      <alignment horizontal="left" vertical="center"/>
    </xf>
    <xf numFmtId="40" fontId="12" fillId="0" borderId="21" xfId="0" applyNumberFormat="1" applyFont="1" applyFill="1" applyBorder="1" applyAlignment="1">
      <alignment horizontal="left" vertical="center"/>
    </xf>
    <xf numFmtId="40" fontId="13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/>
    </xf>
    <xf numFmtId="40" fontId="13" fillId="0" borderId="12" xfId="0" applyNumberFormat="1" applyFont="1" applyFill="1" applyBorder="1" applyAlignment="1">
      <alignment horizontal="left" vertical="center"/>
    </xf>
    <xf numFmtId="40" fontId="12" fillId="0" borderId="24" xfId="0" applyNumberFormat="1" applyFont="1" applyFill="1" applyBorder="1" applyAlignment="1">
      <alignment horizontal="left" vertical="center"/>
    </xf>
    <xf numFmtId="4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indent="7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indent="7"/>
    </xf>
    <xf numFmtId="0" fontId="12" fillId="0" borderId="0" xfId="0" applyFont="1" applyFill="1" applyBorder="1" applyAlignment="1">
      <alignment horizontal="left" indent="7"/>
    </xf>
    <xf numFmtId="0" fontId="13" fillId="0" borderId="0" xfId="0" applyFont="1" applyFill="1" applyBorder="1" applyAlignment="1">
      <alignment horizontal="left" indent="7"/>
    </xf>
    <xf numFmtId="0" fontId="20" fillId="0" borderId="53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37" fontId="18" fillId="0" borderId="20" xfId="0" applyNumberFormat="1" applyFont="1" applyFill="1" applyBorder="1" applyAlignment="1">
      <alignment horizontal="center" vertical="center"/>
    </xf>
    <xf numFmtId="37" fontId="18" fillId="0" borderId="13" xfId="0" applyNumberFormat="1" applyFont="1" applyFill="1" applyBorder="1" applyAlignment="1">
      <alignment horizontal="center" vertical="center"/>
    </xf>
    <xf numFmtId="49" fontId="21" fillId="36" borderId="10" xfId="0" applyNumberFormat="1" applyFont="1" applyFill="1" applyBorder="1" applyAlignment="1">
      <alignment horizontal="center" vertical="center" wrapText="1"/>
    </xf>
    <xf numFmtId="49" fontId="21" fillId="36" borderId="17" xfId="0" applyNumberFormat="1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165" fontId="18" fillId="0" borderId="20" xfId="56" applyFont="1" applyFill="1" applyBorder="1" applyAlignment="1" applyProtection="1">
      <alignment horizontal="center" vertical="center" wrapText="1"/>
      <protection/>
    </xf>
    <xf numFmtId="165" fontId="18" fillId="0" borderId="68" xfId="56" applyFont="1" applyFill="1" applyBorder="1" applyAlignment="1" applyProtection="1">
      <alignment horizontal="center" vertical="center" wrapText="1"/>
      <protection/>
    </xf>
    <xf numFmtId="43" fontId="18" fillId="0" borderId="19" xfId="56" applyNumberFormat="1" applyFont="1" applyFill="1" applyBorder="1" applyAlignment="1" applyProtection="1">
      <alignment horizontal="right" vertical="center" wrapText="1"/>
      <protection/>
    </xf>
    <xf numFmtId="165" fontId="18" fillId="0" borderId="19" xfId="56" applyFont="1" applyFill="1" applyBorder="1" applyAlignment="1" applyProtection="1">
      <alignment horizontal="right" vertical="center" wrapText="1"/>
      <protection/>
    </xf>
    <xf numFmtId="165" fontId="23" fillId="0" borderId="19" xfId="56" applyFont="1" applyFill="1" applyBorder="1" applyAlignment="1" applyProtection="1">
      <alignment horizontal="center" vertical="center"/>
      <protection/>
    </xf>
    <xf numFmtId="165" fontId="23" fillId="0" borderId="20" xfId="56" applyFont="1" applyFill="1" applyBorder="1" applyAlignment="1" applyProtection="1">
      <alignment horizontal="center" vertical="center"/>
      <protection/>
    </xf>
    <xf numFmtId="165" fontId="23" fillId="0" borderId="68" xfId="56" applyFont="1" applyFill="1" applyBorder="1" applyAlignment="1" applyProtection="1">
      <alignment horizontal="center" vertical="center"/>
      <protection/>
    </xf>
    <xf numFmtId="165" fontId="18" fillId="0" borderId="16" xfId="56" applyFont="1" applyFill="1" applyBorder="1" applyAlignment="1" applyProtection="1">
      <alignment horizontal="center" vertical="center" wrapText="1"/>
      <protection/>
    </xf>
    <xf numFmtId="165" fontId="18" fillId="0" borderId="26" xfId="56" applyFont="1" applyFill="1" applyBorder="1" applyAlignment="1" applyProtection="1">
      <alignment horizontal="center" vertical="center" wrapText="1"/>
      <protection/>
    </xf>
    <xf numFmtId="165" fontId="18" fillId="0" borderId="19" xfId="56" applyFont="1" applyFill="1" applyBorder="1" applyAlignment="1" applyProtection="1">
      <alignment horizontal="center" vertical="center" wrapText="1"/>
      <protection/>
    </xf>
    <xf numFmtId="165" fontId="18" fillId="0" borderId="16" xfId="56" applyFont="1" applyFill="1" applyBorder="1" applyAlignment="1" applyProtection="1">
      <alignment horizontal="right" vertical="center" wrapText="1"/>
      <protection/>
    </xf>
    <xf numFmtId="165" fontId="18" fillId="0" borderId="26" xfId="56" applyFont="1" applyFill="1" applyBorder="1" applyAlignment="1" applyProtection="1">
      <alignment horizontal="right" vertical="center" wrapText="1"/>
      <protection/>
    </xf>
    <xf numFmtId="165" fontId="18" fillId="0" borderId="13" xfId="56" applyFont="1" applyFill="1" applyBorder="1" applyAlignment="1" applyProtection="1">
      <alignment horizontal="center" vertical="center" wrapText="1"/>
      <protection/>
    </xf>
    <xf numFmtId="165" fontId="18" fillId="0" borderId="12" xfId="56" applyFont="1" applyFill="1" applyBorder="1" applyAlignment="1" applyProtection="1">
      <alignment horizontal="center" vertical="center" wrapText="1"/>
      <protection/>
    </xf>
    <xf numFmtId="165" fontId="18" fillId="0" borderId="20" xfId="56" applyFont="1" applyFill="1" applyBorder="1" applyAlignment="1" applyProtection="1">
      <alignment horizontal="right" vertical="center" wrapText="1"/>
      <protection/>
    </xf>
    <xf numFmtId="165" fontId="18" fillId="0" borderId="68" xfId="56" applyFont="1" applyFill="1" applyBorder="1" applyAlignment="1" applyProtection="1">
      <alignment horizontal="right" vertical="center" wrapText="1"/>
      <protection/>
    </xf>
    <xf numFmtId="37" fontId="18" fillId="0" borderId="13" xfId="0" applyNumberFormat="1" applyFont="1" applyBorder="1" applyAlignment="1">
      <alignment horizontal="center" vertical="center"/>
    </xf>
    <xf numFmtId="37" fontId="18" fillId="0" borderId="19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65" fontId="18" fillId="0" borderId="19" xfId="56" applyFont="1" applyFill="1" applyBorder="1" applyAlignment="1" applyProtection="1">
      <alignment vertical="center" wrapText="1"/>
      <protection/>
    </xf>
    <xf numFmtId="165" fontId="18" fillId="0" borderId="20" xfId="56" applyFont="1" applyFill="1" applyBorder="1" applyAlignment="1" applyProtection="1">
      <alignment vertical="center" wrapText="1"/>
      <protection/>
    </xf>
    <xf numFmtId="165" fontId="18" fillId="0" borderId="68" xfId="56" applyFont="1" applyFill="1" applyBorder="1" applyAlignment="1" applyProtection="1">
      <alignment vertical="center" wrapText="1"/>
      <protection/>
    </xf>
    <xf numFmtId="165" fontId="23" fillId="0" borderId="19" xfId="56" applyFont="1" applyFill="1" applyBorder="1" applyAlignment="1" applyProtection="1">
      <alignment vertical="center"/>
      <protection/>
    </xf>
    <xf numFmtId="165" fontId="23" fillId="0" borderId="20" xfId="56" applyFont="1" applyFill="1" applyBorder="1" applyAlignment="1" applyProtection="1">
      <alignment vertical="center"/>
      <protection/>
    </xf>
    <xf numFmtId="165" fontId="23" fillId="0" borderId="68" xfId="56" applyFont="1" applyFill="1" applyBorder="1" applyAlignment="1" applyProtection="1">
      <alignment vertical="center"/>
      <protection/>
    </xf>
    <xf numFmtId="165" fontId="18" fillId="0" borderId="16" xfId="56" applyFont="1" applyFill="1" applyBorder="1" applyAlignment="1" applyProtection="1">
      <alignment vertical="center" wrapText="1"/>
      <protection/>
    </xf>
    <xf numFmtId="165" fontId="18" fillId="0" borderId="26" xfId="56" applyFont="1" applyFill="1" applyBorder="1" applyAlignment="1" applyProtection="1">
      <alignment vertical="center" wrapText="1"/>
      <protection/>
    </xf>
    <xf numFmtId="165" fontId="18" fillId="0" borderId="13" xfId="56" applyFont="1" applyFill="1" applyBorder="1" applyAlignment="1" applyProtection="1">
      <alignment horizontal="right" vertical="center" wrapText="1"/>
      <protection/>
    </xf>
    <xf numFmtId="165" fontId="18" fillId="0" borderId="17" xfId="56" applyFont="1" applyFill="1" applyBorder="1" applyAlignment="1" applyProtection="1">
      <alignment vertical="center" wrapText="1"/>
      <protection/>
    </xf>
    <xf numFmtId="165" fontId="23" fillId="0" borderId="13" xfId="56" applyFont="1" applyFill="1" applyBorder="1" applyAlignment="1" applyProtection="1">
      <alignment horizontal="center" vertical="center"/>
      <protection/>
    </xf>
    <xf numFmtId="165" fontId="23" fillId="0" borderId="20" xfId="56" applyFont="1" applyFill="1" applyBorder="1" applyAlignment="1" applyProtection="1">
      <alignment horizontal="right" vertical="center"/>
      <protection/>
    </xf>
    <xf numFmtId="165" fontId="23" fillId="0" borderId="12" xfId="56" applyFont="1" applyFill="1" applyBorder="1" applyAlignment="1" applyProtection="1">
      <alignment horizontal="right" vertical="center"/>
      <protection/>
    </xf>
    <xf numFmtId="165" fontId="23" fillId="0" borderId="13" xfId="56" applyFont="1" applyFill="1" applyBorder="1" applyAlignment="1" applyProtection="1">
      <alignment horizontal="right" vertical="center"/>
      <protection/>
    </xf>
    <xf numFmtId="165" fontId="23" fillId="0" borderId="16" xfId="56" applyFont="1" applyFill="1" applyBorder="1" applyAlignment="1" applyProtection="1">
      <alignment vertical="center"/>
      <protection/>
    </xf>
    <xf numFmtId="165" fontId="23" fillId="0" borderId="26" xfId="56" applyFont="1" applyFill="1" applyBorder="1" applyAlignment="1" applyProtection="1">
      <alignment vertical="center"/>
      <protection/>
    </xf>
    <xf numFmtId="165" fontId="18" fillId="0" borderId="56" xfId="56" applyFont="1" applyFill="1" applyBorder="1" applyAlignment="1" applyProtection="1">
      <alignment vertical="center" wrapText="1"/>
      <protection/>
    </xf>
    <xf numFmtId="165" fontId="18" fillId="0" borderId="79" xfId="56" applyFont="1" applyFill="1" applyBorder="1" applyAlignment="1" applyProtection="1">
      <alignment horizontal="center" vertical="center" wrapText="1"/>
      <protection/>
    </xf>
    <xf numFmtId="165" fontId="18" fillId="0" borderId="66" xfId="56" applyFont="1" applyFill="1" applyBorder="1" applyAlignment="1" applyProtection="1">
      <alignment horizontal="center" vertical="center" wrapText="1"/>
      <protection/>
    </xf>
    <xf numFmtId="165" fontId="23" fillId="0" borderId="19" xfId="56" applyFont="1" applyFill="1" applyBorder="1" applyAlignment="1" applyProtection="1">
      <alignment horizontal="right" vertical="center"/>
      <protection/>
    </xf>
    <xf numFmtId="165" fontId="23" fillId="0" borderId="68" xfId="56" applyFont="1" applyFill="1" applyBorder="1" applyAlignment="1" applyProtection="1">
      <alignment horizontal="right" vertical="center"/>
      <protection/>
    </xf>
    <xf numFmtId="165" fontId="18" fillId="0" borderId="10" xfId="56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165" fontId="18" fillId="0" borderId="19" xfId="56" applyFont="1" applyFill="1" applyBorder="1" applyAlignment="1" applyProtection="1">
      <alignment horizontal="center"/>
      <protection/>
    </xf>
    <xf numFmtId="165" fontId="18" fillId="0" borderId="20" xfId="56" applyFont="1" applyFill="1" applyBorder="1" applyAlignment="1" applyProtection="1">
      <alignment horizontal="center"/>
      <protection/>
    </xf>
    <xf numFmtId="165" fontId="18" fillId="0" borderId="12" xfId="56" applyFont="1" applyFill="1" applyBorder="1" applyAlignment="1" applyProtection="1">
      <alignment horizontal="center"/>
      <protection/>
    </xf>
    <xf numFmtId="165" fontId="18" fillId="0" borderId="75" xfId="56" applyFont="1" applyFill="1" applyBorder="1" applyAlignment="1" applyProtection="1">
      <alignment horizontal="center"/>
      <protection/>
    </xf>
    <xf numFmtId="37" fontId="24" fillId="0" borderId="13" xfId="0" applyNumberFormat="1" applyFont="1" applyFill="1" applyBorder="1" applyAlignment="1">
      <alignment horizontal="center" vertical="center" wrapText="1"/>
    </xf>
    <xf numFmtId="37" fontId="18" fillId="0" borderId="19" xfId="0" applyNumberFormat="1" applyFont="1" applyFill="1" applyBorder="1" applyAlignment="1">
      <alignment horizontal="center" vertical="center"/>
    </xf>
    <xf numFmtId="37" fontId="18" fillId="0" borderId="20" xfId="0" applyNumberFormat="1" applyFont="1" applyFill="1" applyBorder="1" applyAlignment="1">
      <alignment horizontal="center" vertical="center" wrapText="1"/>
    </xf>
    <xf numFmtId="37" fontId="18" fillId="0" borderId="68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/>
    </xf>
    <xf numFmtId="165" fontId="18" fillId="0" borderId="16" xfId="56" applyFont="1" applyFill="1" applyBorder="1" applyAlignment="1" applyProtection="1">
      <alignment horizontal="center"/>
      <protection/>
    </xf>
    <xf numFmtId="165" fontId="18" fillId="0" borderId="26" xfId="56" applyFont="1" applyFill="1" applyBorder="1" applyAlignment="1" applyProtection="1">
      <alignment horizontal="center"/>
      <protection/>
    </xf>
    <xf numFmtId="165" fontId="18" fillId="0" borderId="18" xfId="56" applyFont="1" applyFill="1" applyBorder="1" applyAlignment="1" applyProtection="1">
      <alignment horizontal="center"/>
      <protection/>
    </xf>
    <xf numFmtId="165" fontId="18" fillId="0" borderId="50" xfId="56" applyFont="1" applyFill="1" applyBorder="1" applyAlignment="1" applyProtection="1">
      <alignment horizontal="center"/>
      <protection/>
    </xf>
    <xf numFmtId="0" fontId="24" fillId="38" borderId="1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/>
    </xf>
    <xf numFmtId="165" fontId="99" fillId="0" borderId="20" xfId="56" applyFont="1" applyFill="1" applyBorder="1" applyAlignment="1" applyProtection="1">
      <alignment horizontal="right"/>
      <protection/>
    </xf>
    <xf numFmtId="165" fontId="99" fillId="0" borderId="68" xfId="56" applyFont="1" applyFill="1" applyBorder="1" applyAlignment="1" applyProtection="1">
      <alignment horizontal="right"/>
      <protection/>
    </xf>
    <xf numFmtId="165" fontId="23" fillId="0" borderId="51" xfId="56" applyFont="1" applyFill="1" applyBorder="1" applyAlignment="1" applyProtection="1">
      <alignment horizontal="center" vertical="top" wrapText="1"/>
      <protection/>
    </xf>
    <xf numFmtId="165" fontId="23" fillId="0" borderId="26" xfId="56" applyFont="1" applyFill="1" applyBorder="1" applyAlignment="1" applyProtection="1">
      <alignment horizontal="center" vertical="top" wrapText="1"/>
      <protection/>
    </xf>
    <xf numFmtId="165" fontId="23" fillId="0" borderId="21" xfId="56" applyFont="1" applyFill="1" applyBorder="1" applyAlignment="1" applyProtection="1">
      <alignment horizontal="center" vertical="top" wrapText="1"/>
      <protection/>
    </xf>
    <xf numFmtId="165" fontId="23" fillId="0" borderId="15" xfId="56" applyFont="1" applyFill="1" applyBorder="1" applyAlignment="1" applyProtection="1">
      <alignment horizontal="center" vertical="top" wrapText="1"/>
      <protection/>
    </xf>
    <xf numFmtId="165" fontId="23" fillId="0" borderId="16" xfId="56" applyFont="1" applyFill="1" applyBorder="1" applyAlignment="1" applyProtection="1">
      <alignment horizontal="center" vertical="top" wrapText="1"/>
      <protection/>
    </xf>
    <xf numFmtId="165" fontId="18" fillId="0" borderId="46" xfId="56" applyNumberFormat="1" applyFont="1" applyFill="1" applyBorder="1" applyAlignment="1" applyProtection="1">
      <alignment horizontal="right" vertical="center" wrapText="1"/>
      <protection/>
    </xf>
    <xf numFmtId="165" fontId="18" fillId="0" borderId="61" xfId="56" applyNumberFormat="1" applyFont="1" applyFill="1" applyBorder="1" applyAlignment="1" applyProtection="1">
      <alignment horizontal="right" vertical="center" wrapText="1"/>
      <protection/>
    </xf>
    <xf numFmtId="165" fontId="18" fillId="0" borderId="21" xfId="56" applyFont="1" applyFill="1" applyBorder="1" applyAlignment="1" applyProtection="1">
      <alignment horizontal="center" vertical="top" wrapText="1"/>
      <protection/>
    </xf>
    <xf numFmtId="165" fontId="18" fillId="0" borderId="15" xfId="56" applyFont="1" applyFill="1" applyBorder="1" applyAlignment="1" applyProtection="1">
      <alignment horizontal="center" vertical="top" wrapText="1"/>
      <protection/>
    </xf>
    <xf numFmtId="165" fontId="18" fillId="0" borderId="16" xfId="56" applyFont="1" applyFill="1" applyBorder="1" applyAlignment="1" applyProtection="1">
      <alignment horizontal="center" vertical="top" wrapText="1"/>
      <protection/>
    </xf>
    <xf numFmtId="165" fontId="18" fillId="0" borderId="26" xfId="56" applyFont="1" applyFill="1" applyBorder="1" applyAlignment="1" applyProtection="1">
      <alignment horizontal="center" vertical="top" wrapText="1"/>
      <protection/>
    </xf>
    <xf numFmtId="165" fontId="23" fillId="0" borderId="42" xfId="56" applyFont="1" applyFill="1" applyBorder="1" applyAlignment="1" applyProtection="1">
      <alignment horizontal="center" vertical="top" wrapText="1"/>
      <protection/>
    </xf>
    <xf numFmtId="165" fontId="23" fillId="0" borderId="25" xfId="56" applyFont="1" applyFill="1" applyBorder="1" applyAlignment="1" applyProtection="1">
      <alignment horizontal="center" vertical="top" wrapText="1"/>
      <protection/>
    </xf>
    <xf numFmtId="165" fontId="23" fillId="0" borderId="22" xfId="56" applyFont="1" applyFill="1" applyBorder="1" applyAlignment="1" applyProtection="1">
      <alignment horizontal="center" vertical="top" wrapText="1"/>
      <protection/>
    </xf>
    <xf numFmtId="165" fontId="23" fillId="0" borderId="10" xfId="56" applyFont="1" applyFill="1" applyBorder="1" applyAlignment="1" applyProtection="1">
      <alignment horizontal="center" vertical="top" wrapText="1"/>
      <protection/>
    </xf>
    <xf numFmtId="165" fontId="23" fillId="0" borderId="11" xfId="56" applyFont="1" applyFill="1" applyBorder="1" applyAlignment="1" applyProtection="1">
      <alignment horizontal="center" vertical="top" wrapText="1"/>
      <protection/>
    </xf>
    <xf numFmtId="165" fontId="23" fillId="0" borderId="70" xfId="56" applyFont="1" applyFill="1" applyBorder="1" applyAlignment="1" applyProtection="1">
      <alignment horizontal="center" vertical="top" wrapText="1"/>
      <protection/>
    </xf>
    <xf numFmtId="165" fontId="18" fillId="0" borderId="51" xfId="56" applyFont="1" applyFill="1" applyBorder="1" applyAlignment="1" applyProtection="1">
      <alignment horizontal="center" vertical="top" wrapText="1"/>
      <protection/>
    </xf>
    <xf numFmtId="165" fontId="18" fillId="0" borderId="0" xfId="56" applyFont="1" applyFill="1" applyBorder="1" applyAlignment="1" applyProtection="1">
      <alignment horizontal="center" vertical="top" wrapText="1"/>
      <protection/>
    </xf>
    <xf numFmtId="0" fontId="13" fillId="0" borderId="0" xfId="0" applyFont="1" applyBorder="1" applyAlignment="1">
      <alignment horizontal="left" indent="7"/>
    </xf>
    <xf numFmtId="49" fontId="10" fillId="0" borderId="0" xfId="0" applyNumberFormat="1" applyFont="1" applyFill="1" applyBorder="1" applyAlignment="1">
      <alignment horizontal="left"/>
    </xf>
    <xf numFmtId="49" fontId="10" fillId="0" borderId="23" xfId="0" applyNumberFormat="1" applyFont="1" applyFill="1" applyBorder="1" applyAlignment="1">
      <alignment horizontal="left"/>
    </xf>
    <xf numFmtId="0" fontId="24" fillId="0" borderId="1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/>
    </xf>
    <xf numFmtId="0" fontId="18" fillId="0" borderId="68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37" fontId="18" fillId="0" borderId="14" xfId="0" applyNumberFormat="1" applyFont="1" applyFill="1" applyBorder="1" applyAlignment="1">
      <alignment horizontal="center"/>
    </xf>
    <xf numFmtId="40" fontId="18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indent="7"/>
    </xf>
    <xf numFmtId="49" fontId="12" fillId="0" borderId="0" xfId="0" applyNumberFormat="1" applyFont="1" applyBorder="1" applyAlignment="1">
      <alignment horizontal="left" indent="7"/>
    </xf>
    <xf numFmtId="165" fontId="23" fillId="0" borderId="19" xfId="56" applyFont="1" applyFill="1" applyBorder="1" applyAlignment="1" applyProtection="1">
      <alignment horizontal="center" vertical="center" wrapText="1"/>
      <protection/>
    </xf>
    <xf numFmtId="165" fontId="23" fillId="0" borderId="20" xfId="56" applyFont="1" applyFill="1" applyBorder="1" applyAlignment="1" applyProtection="1">
      <alignment horizontal="right" vertical="center" wrapText="1"/>
      <protection/>
    </xf>
    <xf numFmtId="165" fontId="23" fillId="36" borderId="20" xfId="56" applyFont="1" applyFill="1" applyBorder="1" applyAlignment="1" applyProtection="1">
      <alignment horizontal="right" vertical="center" wrapText="1"/>
      <protection/>
    </xf>
    <xf numFmtId="165" fontId="23" fillId="36" borderId="13" xfId="56" applyFont="1" applyFill="1" applyBorder="1" applyAlignment="1" applyProtection="1">
      <alignment horizontal="right" vertical="center" wrapText="1"/>
      <protection/>
    </xf>
    <xf numFmtId="165" fontId="23" fillId="36" borderId="19" xfId="56" applyFont="1" applyFill="1" applyBorder="1" applyAlignment="1" applyProtection="1">
      <alignment horizontal="right" vertical="center" wrapText="1"/>
      <protection/>
    </xf>
    <xf numFmtId="165" fontId="23" fillId="0" borderId="19" xfId="56" applyFont="1" applyFill="1" applyBorder="1" applyAlignment="1" applyProtection="1">
      <alignment horizontal="right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169" fontId="18" fillId="0" borderId="18" xfId="0" applyNumberFormat="1" applyFont="1" applyFill="1" applyBorder="1" applyAlignment="1">
      <alignment horizontal="center" vertical="center" wrapText="1"/>
    </xf>
    <xf numFmtId="165" fontId="23" fillId="0" borderId="20" xfId="56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65" fontId="23" fillId="0" borderId="19" xfId="56" applyNumberFormat="1" applyFont="1" applyFill="1" applyBorder="1" applyAlignment="1" applyProtection="1">
      <alignment horizontal="right" vertical="center" wrapText="1"/>
      <protection/>
    </xf>
    <xf numFmtId="165" fontId="23" fillId="0" borderId="16" xfId="56" applyFont="1" applyFill="1" applyBorder="1" applyAlignment="1" applyProtection="1">
      <alignment horizontal="center" vertical="center" wrapText="1"/>
      <protection/>
    </xf>
    <xf numFmtId="165" fontId="23" fillId="0" borderId="26" xfId="56" applyFont="1" applyFill="1" applyBorder="1" applyAlignment="1" applyProtection="1">
      <alignment horizontal="center" vertical="center" wrapText="1"/>
      <protection/>
    </xf>
    <xf numFmtId="43" fontId="23" fillId="0" borderId="19" xfId="56" applyNumberFormat="1" applyFont="1" applyFill="1" applyBorder="1" applyAlignment="1" applyProtection="1">
      <alignment horizontal="right" vertical="center" wrapText="1"/>
      <protection/>
    </xf>
    <xf numFmtId="165" fontId="23" fillId="0" borderId="68" xfId="56" applyFont="1" applyFill="1" applyBorder="1" applyAlignment="1" applyProtection="1">
      <alignment horizontal="center" vertical="center" wrapText="1"/>
      <protection/>
    </xf>
    <xf numFmtId="165" fontId="18" fillId="0" borderId="11" xfId="56" applyFont="1" applyFill="1" applyBorder="1" applyAlignment="1" applyProtection="1">
      <alignment horizontal="center" vertical="center" wrapText="1"/>
      <protection/>
    </xf>
    <xf numFmtId="165" fontId="18" fillId="0" borderId="70" xfId="56" applyFont="1" applyFill="1" applyBorder="1" applyAlignment="1" applyProtection="1">
      <alignment horizontal="center" vertical="center" wrapText="1"/>
      <protection/>
    </xf>
    <xf numFmtId="165" fontId="18" fillId="0" borderId="19" xfId="54" applyFont="1" applyFill="1" applyBorder="1" applyAlignment="1" applyProtection="1">
      <alignment horizontal="right" vertical="center" wrapText="1"/>
      <protection/>
    </xf>
    <xf numFmtId="165" fontId="18" fillId="36" borderId="19" xfId="56" applyFont="1" applyFill="1" applyBorder="1" applyAlignment="1" applyProtection="1">
      <alignment horizontal="right" vertical="center" wrapText="1"/>
      <protection/>
    </xf>
    <xf numFmtId="165" fontId="18" fillId="36" borderId="19" xfId="56" applyFont="1" applyFill="1" applyBorder="1" applyAlignment="1" applyProtection="1">
      <alignment horizontal="center" vertical="center" wrapText="1"/>
      <protection/>
    </xf>
    <xf numFmtId="165" fontId="18" fillId="36" borderId="16" xfId="56" applyFont="1" applyFill="1" applyBorder="1" applyAlignment="1" applyProtection="1">
      <alignment horizontal="center" vertical="center" wrapText="1"/>
      <protection/>
    </xf>
    <xf numFmtId="165" fontId="18" fillId="36" borderId="26" xfId="56" applyFont="1" applyFill="1" applyBorder="1" applyAlignment="1" applyProtection="1">
      <alignment horizontal="center" vertical="center" wrapText="1"/>
      <protection/>
    </xf>
    <xf numFmtId="43" fontId="18" fillId="0" borderId="20" xfId="56" applyNumberFormat="1" applyFont="1" applyFill="1" applyBorder="1" applyAlignment="1" applyProtection="1">
      <alignment horizontal="right" vertical="center" wrapText="1"/>
      <protection/>
    </xf>
    <xf numFmtId="43" fontId="18" fillId="0" borderId="13" xfId="56" applyNumberFormat="1" applyFont="1" applyFill="1" applyBorder="1" applyAlignment="1" applyProtection="1">
      <alignment horizontal="right" vertical="center" wrapText="1"/>
      <protection/>
    </xf>
    <xf numFmtId="165" fontId="18" fillId="36" borderId="20" xfId="56" applyFont="1" applyFill="1" applyBorder="1" applyAlignment="1" applyProtection="1">
      <alignment horizontal="center" vertical="center" wrapText="1"/>
      <protection/>
    </xf>
    <xf numFmtId="165" fontId="18" fillId="36" borderId="68" xfId="56" applyFont="1" applyFill="1" applyBorder="1" applyAlignment="1" applyProtection="1">
      <alignment horizontal="center" vertical="center" wrapText="1"/>
      <protection/>
    </xf>
    <xf numFmtId="165" fontId="23" fillId="0" borderId="75" xfId="56" applyFont="1" applyFill="1" applyBorder="1" applyAlignment="1" applyProtection="1">
      <alignment horizontal="center" vertical="center"/>
      <protection/>
    </xf>
    <xf numFmtId="165" fontId="23" fillId="0" borderId="75" xfId="56" applyFont="1" applyFill="1" applyBorder="1" applyAlignment="1" applyProtection="1">
      <alignment horizontal="center" vertical="center" wrapText="1"/>
      <protection/>
    </xf>
    <xf numFmtId="165" fontId="23" fillId="0" borderId="16" xfId="56" applyFont="1" applyFill="1" applyBorder="1" applyAlignment="1" applyProtection="1">
      <alignment horizontal="center" vertical="center"/>
      <protection/>
    </xf>
    <xf numFmtId="165" fontId="23" fillId="0" borderId="26" xfId="56" applyFont="1" applyFill="1" applyBorder="1" applyAlignment="1" applyProtection="1">
      <alignment horizontal="center" vertical="center"/>
      <protection/>
    </xf>
    <xf numFmtId="165" fontId="23" fillId="0" borderId="11" xfId="56" applyFont="1" applyFill="1" applyBorder="1" applyAlignment="1" applyProtection="1">
      <alignment horizontal="center" vertical="center" wrapText="1"/>
      <protection/>
    </xf>
    <xf numFmtId="165" fontId="23" fillId="0" borderId="70" xfId="56" applyFont="1" applyFill="1" applyBorder="1" applyAlignment="1" applyProtection="1">
      <alignment horizontal="center" vertical="center" wrapText="1"/>
      <protection/>
    </xf>
    <xf numFmtId="2" fontId="13" fillId="0" borderId="23" xfId="0" applyNumberFormat="1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166" fontId="18" fillId="0" borderId="23" xfId="0" applyNumberFormat="1" applyFont="1" applyFill="1" applyBorder="1" applyAlignment="1">
      <alignment horizontal="right"/>
    </xf>
    <xf numFmtId="0" fontId="18" fillId="0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wrapText="1"/>
    </xf>
    <xf numFmtId="49" fontId="18" fillId="0" borderId="22" xfId="0" applyNumberFormat="1" applyFont="1" applyFill="1" applyBorder="1" applyAlignment="1">
      <alignment horizontal="center" wrapText="1"/>
    </xf>
    <xf numFmtId="49" fontId="18" fillId="0" borderId="11" xfId="0" applyNumberFormat="1" applyFont="1" applyFill="1" applyBorder="1" applyAlignment="1">
      <alignment horizont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165" fontId="18" fillId="0" borderId="16" xfId="54" applyFont="1" applyFill="1" applyBorder="1" applyAlignment="1" applyProtection="1">
      <alignment horizontal="right" vertical="center" wrapText="1"/>
      <protection/>
    </xf>
    <xf numFmtId="165" fontId="18" fillId="0" borderId="16" xfId="54" applyFont="1" applyFill="1" applyBorder="1" applyAlignment="1" applyProtection="1">
      <alignment horizontal="center" vertical="center" wrapText="1"/>
      <protection/>
    </xf>
    <xf numFmtId="165" fontId="18" fillId="0" borderId="0" xfId="54" applyFont="1" applyFill="1" applyBorder="1" applyAlignment="1" applyProtection="1">
      <alignment horizontal="center" vertical="center" wrapText="1"/>
      <protection/>
    </xf>
    <xf numFmtId="165" fontId="18" fillId="0" borderId="20" xfId="54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center" vertical="center"/>
    </xf>
    <xf numFmtId="165" fontId="18" fillId="0" borderId="19" xfId="54" applyFont="1" applyFill="1" applyBorder="1" applyAlignment="1" applyProtection="1">
      <alignment horizontal="right" vertical="center"/>
      <protection/>
    </xf>
    <xf numFmtId="165" fontId="18" fillId="0" borderId="20" xfId="54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center" vertical="center"/>
    </xf>
    <xf numFmtId="165" fontId="23" fillId="0" borderId="20" xfId="54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horizontal="center" wrapText="1"/>
    </xf>
    <xf numFmtId="165" fontId="18" fillId="0" borderId="16" xfId="54" applyFont="1" applyFill="1" applyBorder="1" applyAlignment="1" applyProtection="1">
      <alignment horizontal="center"/>
      <protection/>
    </xf>
    <xf numFmtId="165" fontId="23" fillId="0" borderId="16" xfId="54" applyFont="1" applyFill="1" applyBorder="1" applyAlignment="1" applyProtection="1">
      <alignment horizontal="center"/>
      <protection/>
    </xf>
    <xf numFmtId="165" fontId="18" fillId="0" borderId="0" xfId="54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center" vertical="center"/>
    </xf>
    <xf numFmtId="165" fontId="18" fillId="0" borderId="20" xfId="54" applyFont="1" applyFill="1" applyBorder="1" applyAlignment="1" applyProtection="1">
      <alignment horizontal="center" vertical="center"/>
      <protection/>
    </xf>
    <xf numFmtId="0" fontId="18" fillId="0" borderId="20" xfId="48" applyFont="1" applyFill="1" applyBorder="1" applyAlignment="1">
      <alignment horizontal="center" vertical="center"/>
      <protection/>
    </xf>
    <xf numFmtId="0" fontId="18" fillId="0" borderId="68" xfId="48" applyFont="1" applyFill="1" applyBorder="1" applyAlignment="1">
      <alignment horizontal="center" vertical="center"/>
      <protection/>
    </xf>
    <xf numFmtId="0" fontId="18" fillId="0" borderId="11" xfId="48" applyFont="1" applyFill="1" applyBorder="1" applyAlignment="1">
      <alignment horizontal="center" vertical="center"/>
      <protection/>
    </xf>
    <xf numFmtId="0" fontId="18" fillId="0" borderId="70" xfId="48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left" indent="7"/>
    </xf>
    <xf numFmtId="3" fontId="19" fillId="0" borderId="13" xfId="48" applyNumberFormat="1" applyFont="1" applyFill="1" applyBorder="1" applyAlignment="1">
      <alignment horizontal="center" vertical="center" wrapText="1"/>
      <protection/>
    </xf>
    <xf numFmtId="3" fontId="19" fillId="0" borderId="19" xfId="48" applyNumberFormat="1" applyFont="1" applyFill="1" applyBorder="1" applyAlignment="1">
      <alignment horizontal="center" vertical="center" wrapText="1"/>
      <protection/>
    </xf>
    <xf numFmtId="0" fontId="19" fillId="0" borderId="19" xfId="48" applyFont="1" applyFill="1" applyBorder="1" applyAlignment="1">
      <alignment horizontal="center" vertical="center"/>
      <protection/>
    </xf>
    <xf numFmtId="0" fontId="19" fillId="0" borderId="68" xfId="48" applyFont="1" applyFill="1" applyBorder="1" applyAlignment="1">
      <alignment horizontal="center" vertical="center"/>
      <protection/>
    </xf>
    <xf numFmtId="165" fontId="23" fillId="0" borderId="80" xfId="54" applyFont="1" applyFill="1" applyBorder="1" applyAlignment="1" applyProtection="1">
      <alignment horizontal="center" vertical="center" wrapText="1"/>
      <protection/>
    </xf>
    <xf numFmtId="165" fontId="23" fillId="0" borderId="64" xfId="54" applyFont="1" applyFill="1" applyBorder="1" applyAlignment="1" applyProtection="1">
      <alignment horizontal="center" vertical="center" wrapText="1"/>
      <protection/>
    </xf>
    <xf numFmtId="3" fontId="19" fillId="0" borderId="13" xfId="48" applyNumberFormat="1" applyFont="1" applyFill="1" applyBorder="1" applyAlignment="1">
      <alignment horizontal="center" vertical="center"/>
      <protection/>
    </xf>
    <xf numFmtId="3" fontId="19" fillId="0" borderId="19" xfId="48" applyNumberFormat="1" applyFont="1" applyFill="1" applyBorder="1" applyAlignment="1">
      <alignment horizontal="center" vertical="center"/>
      <protection/>
    </xf>
    <xf numFmtId="3" fontId="19" fillId="0" borderId="68" xfId="48" applyNumberFormat="1" applyFont="1" applyFill="1" applyBorder="1" applyAlignment="1">
      <alignment horizontal="center" vertical="center"/>
      <protection/>
    </xf>
    <xf numFmtId="3" fontId="35" fillId="0" borderId="12" xfId="48" applyNumberFormat="1" applyFont="1" applyFill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left" indent="7"/>
      <protection/>
    </xf>
    <xf numFmtId="0" fontId="19" fillId="0" borderId="0" xfId="49" applyFont="1" applyFill="1" applyBorder="1" applyAlignment="1">
      <alignment horizontal="left" indent="8"/>
      <protection/>
    </xf>
    <xf numFmtId="0" fontId="19" fillId="0" borderId="72" xfId="49" applyFont="1" applyFill="1" applyBorder="1" applyAlignment="1">
      <alignment horizontal="center" vertical="center"/>
      <protection/>
    </xf>
    <xf numFmtId="0" fontId="19" fillId="0" borderId="19" xfId="49" applyFont="1" applyFill="1" applyBorder="1" applyAlignment="1">
      <alignment horizontal="center" vertical="center"/>
      <protection/>
    </xf>
    <xf numFmtId="0" fontId="19" fillId="0" borderId="81" xfId="49" applyFont="1" applyFill="1" applyBorder="1" applyAlignment="1">
      <alignment horizontal="center" vertical="center"/>
      <protection/>
    </xf>
    <xf numFmtId="0" fontId="19" fillId="0" borderId="59" xfId="49" applyFont="1" applyBorder="1" applyAlignment="1">
      <alignment horizontal="center" vertical="center"/>
      <protection/>
    </xf>
    <xf numFmtId="0" fontId="19" fillId="0" borderId="30" xfId="49" applyFont="1" applyFill="1" applyBorder="1" applyAlignment="1">
      <alignment horizontal="center" vertical="center"/>
      <protection/>
    </xf>
    <xf numFmtId="0" fontId="19" fillId="0" borderId="44" xfId="49" applyFont="1" applyFill="1" applyBorder="1" applyAlignment="1">
      <alignment horizontal="center" vertical="center"/>
      <protection/>
    </xf>
    <xf numFmtId="0" fontId="19" fillId="0" borderId="28" xfId="49" applyFont="1" applyFill="1" applyBorder="1" applyAlignment="1">
      <alignment horizontal="center" vertical="center"/>
      <protection/>
    </xf>
    <xf numFmtId="0" fontId="19" fillId="0" borderId="82" xfId="49" applyFont="1" applyFill="1" applyBorder="1" applyAlignment="1">
      <alignment horizontal="center" vertical="center"/>
      <protection/>
    </xf>
    <xf numFmtId="0" fontId="19" fillId="0" borderId="83" xfId="49" applyFont="1" applyFill="1" applyBorder="1" applyAlignment="1">
      <alignment horizontal="center" vertical="center"/>
      <protection/>
    </xf>
    <xf numFmtId="0" fontId="19" fillId="0" borderId="20" xfId="49" applyFont="1" applyFill="1" applyBorder="1" applyAlignment="1">
      <alignment horizontal="center" vertical="center"/>
      <protection/>
    </xf>
    <xf numFmtId="0" fontId="19" fillId="0" borderId="10" xfId="49" applyFont="1" applyFill="1" applyBorder="1" applyAlignment="1">
      <alignment horizontal="center" vertical="center"/>
      <protection/>
    </xf>
    <xf numFmtId="0" fontId="19" fillId="0" borderId="17" xfId="49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165" fontId="99" fillId="36" borderId="0" xfId="59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>
      <alignment horizontal="center" vertical="center" wrapText="1"/>
    </xf>
    <xf numFmtId="165" fontId="23" fillId="0" borderId="79" xfId="0" applyNumberFormat="1" applyFont="1" applyFill="1" applyBorder="1" applyAlignment="1">
      <alignment horizontal="center" vertical="center"/>
    </xf>
    <xf numFmtId="165" fontId="23" fillId="0" borderId="66" xfId="0" applyNumberFormat="1" applyFont="1" applyFill="1" applyBorder="1" applyAlignment="1">
      <alignment horizontal="center" vertical="center"/>
    </xf>
    <xf numFmtId="165" fontId="23" fillId="0" borderId="20" xfId="0" applyNumberFormat="1" applyFont="1" applyFill="1" applyBorder="1" applyAlignment="1">
      <alignment horizontal="center" vertical="center"/>
    </xf>
    <xf numFmtId="165" fontId="23" fillId="0" borderId="68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wrapText="1"/>
    </xf>
    <xf numFmtId="0" fontId="18" fillId="36" borderId="18" xfId="0" applyFont="1" applyFill="1" applyBorder="1" applyAlignment="1">
      <alignment horizontal="center" wrapText="1"/>
    </xf>
    <xf numFmtId="165" fontId="18" fillId="0" borderId="16" xfId="59" applyNumberFormat="1" applyFont="1" applyFill="1" applyBorder="1" applyAlignment="1" applyProtection="1">
      <alignment horizontal="center" vertical="center"/>
      <protection/>
    </xf>
    <xf numFmtId="165" fontId="18" fillId="0" borderId="61" xfId="59" applyNumberFormat="1" applyFont="1" applyFill="1" applyBorder="1" applyAlignment="1" applyProtection="1">
      <alignment horizontal="center" vertical="center"/>
      <protection/>
    </xf>
    <xf numFmtId="0" fontId="18" fillId="36" borderId="20" xfId="0" applyFont="1" applyFill="1" applyBorder="1" applyAlignment="1">
      <alignment horizontal="center" vertical="center" wrapText="1"/>
    </xf>
    <xf numFmtId="0" fontId="18" fillId="36" borderId="68" xfId="0" applyFont="1" applyFill="1" applyBorder="1" applyAlignment="1">
      <alignment horizontal="center" vertical="center" wrapText="1"/>
    </xf>
    <xf numFmtId="165" fontId="23" fillId="36" borderId="20" xfId="0" applyNumberFormat="1" applyFont="1" applyFill="1" applyBorder="1" applyAlignment="1">
      <alignment horizontal="center" vertical="center"/>
    </xf>
    <xf numFmtId="165" fontId="23" fillId="36" borderId="13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165" fontId="18" fillId="36" borderId="20" xfId="0" applyNumberFormat="1" applyFont="1" applyFill="1" applyBorder="1" applyAlignment="1">
      <alignment horizontal="left" vertical="center" wrapText="1"/>
    </xf>
    <xf numFmtId="165" fontId="18" fillId="36" borderId="12" xfId="0" applyNumberFormat="1" applyFont="1" applyFill="1" applyBorder="1" applyAlignment="1">
      <alignment horizontal="left" vertical="center" wrapText="1"/>
    </xf>
    <xf numFmtId="165" fontId="18" fillId="36" borderId="75" xfId="0" applyNumberFormat="1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center" vertical="top" wrapText="1"/>
    </xf>
    <xf numFmtId="0" fontId="2" fillId="36" borderId="71" xfId="0" applyFont="1" applyFill="1" applyBorder="1" applyAlignment="1">
      <alignment horizontal="center" vertical="top" wrapText="1"/>
    </xf>
    <xf numFmtId="165" fontId="18" fillId="0" borderId="20" xfId="59" applyNumberFormat="1" applyFont="1" applyFill="1" applyBorder="1" applyAlignment="1" applyProtection="1">
      <alignment horizontal="left" vertical="center"/>
      <protection/>
    </xf>
    <xf numFmtId="165" fontId="18" fillId="0" borderId="12" xfId="59" applyNumberFormat="1" applyFont="1" applyFill="1" applyBorder="1" applyAlignment="1" applyProtection="1">
      <alignment horizontal="left" vertical="center"/>
      <protection/>
    </xf>
    <xf numFmtId="165" fontId="18" fillId="0" borderId="75" xfId="59" applyNumberFormat="1" applyFont="1" applyFill="1" applyBorder="1" applyAlignment="1" applyProtection="1">
      <alignment horizontal="left" vertical="center"/>
      <protection/>
    </xf>
    <xf numFmtId="0" fontId="18" fillId="0" borderId="24" xfId="0" applyFont="1" applyFill="1" applyBorder="1" applyAlignment="1">
      <alignment horizontal="left" vertical="center" wrapText="1"/>
    </xf>
    <xf numFmtId="0" fontId="18" fillId="0" borderId="7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18" fillId="36" borderId="21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0" fontId="18" fillId="36" borderId="61" xfId="0" applyFont="1" applyFill="1" applyBorder="1" applyAlignment="1">
      <alignment horizontal="center" vertical="top" wrapText="1"/>
    </xf>
    <xf numFmtId="165" fontId="0" fillId="36" borderId="11" xfId="59" applyNumberFormat="1" applyFont="1" applyFill="1" applyBorder="1" applyAlignment="1">
      <alignment horizontal="center" vertical="top" wrapText="1"/>
    </xf>
    <xf numFmtId="165" fontId="0" fillId="36" borderId="14" xfId="59" applyNumberFormat="1" applyFont="1" applyFill="1" applyBorder="1" applyAlignment="1">
      <alignment horizontal="center" vertical="top" wrapText="1"/>
    </xf>
    <xf numFmtId="165" fontId="0" fillId="36" borderId="69" xfId="59" applyNumberFormat="1" applyFont="1" applyFill="1" applyBorder="1" applyAlignment="1">
      <alignment horizontal="center" vertical="top" wrapText="1"/>
    </xf>
    <xf numFmtId="165" fontId="0" fillId="0" borderId="20" xfId="59" applyNumberFormat="1" applyFont="1" applyFill="1" applyBorder="1" applyAlignment="1">
      <alignment horizontal="center" vertical="top" wrapText="1"/>
    </xf>
    <xf numFmtId="0" fontId="23" fillId="36" borderId="13" xfId="0" applyFont="1" applyFill="1" applyBorder="1" applyAlignment="1">
      <alignment horizontal="left" vertical="center" wrapText="1"/>
    </xf>
    <xf numFmtId="165" fontId="0" fillId="0" borderId="12" xfId="59" applyNumberFormat="1" applyFont="1" applyFill="1" applyBorder="1" applyAlignment="1">
      <alignment horizontal="center" vertical="top" wrapText="1"/>
    </xf>
    <xf numFmtId="165" fontId="18" fillId="36" borderId="20" xfId="0" applyNumberFormat="1" applyFont="1" applyFill="1" applyBorder="1" applyAlignment="1">
      <alignment horizontal="center" vertical="center" wrapText="1"/>
    </xf>
    <xf numFmtId="165" fontId="18" fillId="36" borderId="12" xfId="0" applyNumberFormat="1" applyFont="1" applyFill="1" applyBorder="1" applyAlignment="1">
      <alignment horizontal="center" vertical="center" wrapText="1"/>
    </xf>
    <xf numFmtId="165" fontId="18" fillId="36" borderId="75" xfId="0" applyNumberFormat="1" applyFont="1" applyFill="1" applyBorder="1" applyAlignment="1">
      <alignment horizontal="center" vertical="center" wrapText="1"/>
    </xf>
    <xf numFmtId="165" fontId="18" fillId="36" borderId="20" xfId="59" applyNumberFormat="1" applyFont="1" applyFill="1" applyBorder="1" applyAlignment="1" applyProtection="1">
      <alignment horizontal="center" vertical="center" wrapText="1"/>
      <protection/>
    </xf>
    <xf numFmtId="165" fontId="18" fillId="36" borderId="12" xfId="59" applyNumberFormat="1" applyFont="1" applyFill="1" applyBorder="1" applyAlignment="1" applyProtection="1">
      <alignment horizontal="center" vertical="center" wrapText="1"/>
      <protection/>
    </xf>
    <xf numFmtId="165" fontId="18" fillId="36" borderId="75" xfId="59" applyNumberFormat="1" applyFont="1" applyFill="1" applyBorder="1" applyAlignment="1" applyProtection="1">
      <alignment horizontal="center" vertical="center" wrapText="1"/>
      <protection/>
    </xf>
    <xf numFmtId="165" fontId="18" fillId="0" borderId="20" xfId="0" applyNumberFormat="1" applyFont="1" applyFill="1" applyBorder="1" applyAlignment="1">
      <alignment horizontal="center" vertical="top" wrapText="1"/>
    </xf>
    <xf numFmtId="165" fontId="23" fillId="36" borderId="20" xfId="0" applyNumberFormat="1" applyFont="1" applyFill="1" applyBorder="1" applyAlignment="1">
      <alignment horizontal="center" vertical="center" wrapText="1"/>
    </xf>
    <xf numFmtId="165" fontId="23" fillId="36" borderId="68" xfId="0" applyNumberFormat="1" applyFont="1" applyFill="1" applyBorder="1" applyAlignment="1">
      <alignment horizontal="center" vertical="center" wrapText="1"/>
    </xf>
    <xf numFmtId="165" fontId="18" fillId="36" borderId="20" xfId="0" applyNumberFormat="1" applyFont="1" applyFill="1" applyBorder="1" applyAlignment="1">
      <alignment horizontal="center" vertical="top" wrapText="1"/>
    </xf>
    <xf numFmtId="165" fontId="18" fillId="36" borderId="68" xfId="0" applyNumberFormat="1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left" vertical="center" wrapText="1"/>
    </xf>
    <xf numFmtId="165" fontId="18" fillId="0" borderId="45" xfId="59" applyNumberFormat="1" applyFont="1" applyFill="1" applyBorder="1" applyAlignment="1" applyProtection="1">
      <alignment horizontal="left" vertical="center"/>
      <protection/>
    </xf>
    <xf numFmtId="165" fontId="18" fillId="0" borderId="27" xfId="59" applyNumberFormat="1" applyFont="1" applyFill="1" applyBorder="1" applyAlignment="1" applyProtection="1">
      <alignment horizontal="left" vertical="center"/>
      <protection/>
    </xf>
    <xf numFmtId="165" fontId="18" fillId="0" borderId="16" xfId="59" applyNumberFormat="1" applyFont="1" applyFill="1" applyBorder="1" applyAlignment="1" applyProtection="1">
      <alignment horizontal="left" vertical="center"/>
      <protection/>
    </xf>
    <xf numFmtId="165" fontId="18" fillId="0" borderId="26" xfId="59" applyNumberFormat="1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>
      <alignment horizontal="left" wrapText="1"/>
    </xf>
    <xf numFmtId="0" fontId="23" fillId="0" borderId="21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165" fontId="18" fillId="36" borderId="68" xfId="0" applyNumberFormat="1" applyFont="1" applyFill="1" applyBorder="1" applyAlignment="1">
      <alignment horizontal="center" vertical="center" wrapText="1"/>
    </xf>
    <xf numFmtId="165" fontId="23" fillId="36" borderId="84" xfId="0" applyNumberFormat="1" applyFont="1" applyFill="1" applyBorder="1" applyAlignment="1">
      <alignment horizontal="center" vertical="center"/>
    </xf>
    <xf numFmtId="165" fontId="23" fillId="36" borderId="54" xfId="0" applyNumberFormat="1" applyFont="1" applyFill="1" applyBorder="1" applyAlignment="1">
      <alignment horizontal="center" vertical="center"/>
    </xf>
    <xf numFmtId="165" fontId="18" fillId="0" borderId="0" xfId="59" applyNumberFormat="1" applyFont="1" applyFill="1" applyBorder="1" applyAlignment="1" applyProtection="1">
      <alignment horizontal="center" vertical="center"/>
      <protection/>
    </xf>
    <xf numFmtId="165" fontId="18" fillId="0" borderId="20" xfId="59" applyNumberFormat="1" applyFont="1" applyFill="1" applyBorder="1" applyAlignment="1" applyProtection="1">
      <alignment horizontal="center" vertical="center"/>
      <protection/>
    </xf>
    <xf numFmtId="165" fontId="18" fillId="0" borderId="68" xfId="59" applyNumberFormat="1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165" fontId="18" fillId="0" borderId="19" xfId="59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0" borderId="70" xfId="0" applyFont="1" applyFill="1" applyBorder="1" applyAlignment="1">
      <alignment horizontal="center"/>
    </xf>
    <xf numFmtId="165" fontId="18" fillId="0" borderId="46" xfId="59" applyNumberFormat="1" applyFont="1" applyFill="1" applyBorder="1" applyAlignment="1" applyProtection="1">
      <alignment horizontal="center" vertical="center"/>
      <protection/>
    </xf>
    <xf numFmtId="165" fontId="23" fillId="0" borderId="11" xfId="59" applyNumberFormat="1" applyFont="1" applyFill="1" applyBorder="1" applyAlignment="1" applyProtection="1">
      <alignment horizontal="center" vertical="center"/>
      <protection/>
    </xf>
    <xf numFmtId="165" fontId="23" fillId="0" borderId="69" xfId="59" applyNumberFormat="1" applyFont="1" applyFill="1" applyBorder="1" applyAlignment="1" applyProtection="1">
      <alignment horizontal="center" vertical="center"/>
      <protection/>
    </xf>
    <xf numFmtId="165" fontId="23" fillId="0" borderId="20" xfId="59" applyNumberFormat="1" applyFont="1" applyFill="1" applyBorder="1" applyAlignment="1" applyProtection="1">
      <alignment horizontal="center" vertical="center"/>
      <protection/>
    </xf>
    <xf numFmtId="165" fontId="23" fillId="0" borderId="75" xfId="59" applyNumberFormat="1" applyFont="1" applyFill="1" applyBorder="1" applyAlignment="1" applyProtection="1">
      <alignment horizontal="center" vertical="center"/>
      <protection/>
    </xf>
    <xf numFmtId="165" fontId="18" fillId="0" borderId="18" xfId="59" applyNumberFormat="1" applyFont="1" applyFill="1" applyBorder="1" applyAlignment="1" applyProtection="1">
      <alignment horizontal="center" vertical="center"/>
      <protection/>
    </xf>
    <xf numFmtId="165" fontId="18" fillId="0" borderId="71" xfId="59" applyNumberFormat="1" applyFont="1" applyFill="1" applyBorder="1" applyAlignment="1" applyProtection="1">
      <alignment horizontal="center" vertical="center"/>
      <protection/>
    </xf>
    <xf numFmtId="165" fontId="23" fillId="0" borderId="16" xfId="59" applyNumberFormat="1" applyFont="1" applyFill="1" applyBorder="1" applyAlignment="1" applyProtection="1">
      <alignment horizontal="center" vertical="center"/>
      <protection/>
    </xf>
    <xf numFmtId="165" fontId="23" fillId="0" borderId="61" xfId="59" applyNumberFormat="1" applyFont="1" applyFill="1" applyBorder="1" applyAlignment="1" applyProtection="1">
      <alignment horizontal="center" vertical="center"/>
      <protection/>
    </xf>
    <xf numFmtId="0" fontId="18" fillId="36" borderId="24" xfId="0" applyFont="1" applyFill="1" applyBorder="1" applyAlignment="1">
      <alignment horizontal="center" vertical="top" wrapText="1"/>
    </xf>
    <xf numFmtId="165" fontId="23" fillId="36" borderId="15" xfId="59" applyNumberFormat="1" applyFont="1" applyFill="1" applyBorder="1" applyAlignment="1" applyProtection="1">
      <alignment horizontal="center" vertical="center"/>
      <protection/>
    </xf>
    <xf numFmtId="165" fontId="23" fillId="36" borderId="17" xfId="59" applyNumberFormat="1" applyFont="1" applyFill="1" applyBorder="1" applyAlignment="1" applyProtection="1">
      <alignment horizontal="center" vertical="center"/>
      <protection/>
    </xf>
    <xf numFmtId="165" fontId="23" fillId="36" borderId="10" xfId="59" applyNumberFormat="1" applyFont="1" applyFill="1" applyBorder="1" applyAlignment="1" applyProtection="1">
      <alignment horizontal="center" vertical="center"/>
      <protection/>
    </xf>
    <xf numFmtId="165" fontId="23" fillId="36" borderId="43" xfId="59" applyNumberFormat="1" applyFont="1" applyFill="1" applyBorder="1" applyAlignment="1" applyProtection="1">
      <alignment horizontal="center" vertical="center"/>
      <protection/>
    </xf>
    <xf numFmtId="165" fontId="23" fillId="0" borderId="70" xfId="59" applyNumberFormat="1" applyFont="1" applyFill="1" applyBorder="1" applyAlignment="1" applyProtection="1">
      <alignment horizontal="center" vertical="center"/>
      <protection/>
    </xf>
    <xf numFmtId="165" fontId="23" fillId="0" borderId="50" xfId="59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right" vertical="center"/>
    </xf>
    <xf numFmtId="4" fontId="12" fillId="0" borderId="21" xfId="0" applyNumberFormat="1" applyFont="1" applyBorder="1" applyAlignment="1">
      <alignment horizontal="right" vertical="center"/>
    </xf>
    <xf numFmtId="4" fontId="12" fillId="0" borderId="62" xfId="0" applyNumberFormat="1" applyFont="1" applyBorder="1" applyAlignment="1">
      <alignment horizontal="right" vertical="center"/>
    </xf>
    <xf numFmtId="4" fontId="12" fillId="0" borderId="63" xfId="0" applyNumberFormat="1" applyFont="1" applyBorder="1" applyAlignment="1">
      <alignment horizontal="right" vertical="center"/>
    </xf>
    <xf numFmtId="4" fontId="12" fillId="0" borderId="6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4" fontId="13" fillId="0" borderId="69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 indent="7"/>
    </xf>
    <xf numFmtId="0" fontId="12" fillId="0" borderId="0" xfId="0" applyFont="1" applyFill="1" applyBorder="1" applyAlignment="1">
      <alignment horizontal="left" vertical="center" wrapText="1" indent="7"/>
    </xf>
    <xf numFmtId="0" fontId="13" fillId="0" borderId="19" xfId="0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right" vertical="center"/>
    </xf>
    <xf numFmtId="4" fontId="12" fillId="0" borderId="46" xfId="0" applyNumberFormat="1" applyFont="1" applyBorder="1" applyAlignment="1">
      <alignment horizontal="right" vertical="center"/>
    </xf>
    <xf numFmtId="4" fontId="12" fillId="0" borderId="17" xfId="0" applyNumberFormat="1" applyFont="1" applyBorder="1" applyAlignment="1">
      <alignment horizontal="right" vertical="center"/>
    </xf>
    <xf numFmtId="4" fontId="12" fillId="0" borderId="18" xfId="0" applyNumberFormat="1" applyFont="1" applyBorder="1" applyAlignment="1">
      <alignment horizontal="right" vertical="center"/>
    </xf>
    <xf numFmtId="4" fontId="12" fillId="0" borderId="5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12" fillId="0" borderId="26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12" fillId="0" borderId="70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165" fontId="12" fillId="0" borderId="20" xfId="0" applyNumberFormat="1" applyFont="1" applyBorder="1" applyAlignment="1">
      <alignment horizontal="center" vertical="center"/>
    </xf>
    <xf numFmtId="165" fontId="12" fillId="0" borderId="68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65" fontId="13" fillId="0" borderId="16" xfId="0" applyNumberFormat="1" applyFont="1" applyBorder="1" applyAlignment="1">
      <alignment horizontal="left" vertical="center"/>
    </xf>
    <xf numFmtId="165" fontId="13" fillId="0" borderId="16" xfId="0" applyNumberFormat="1" applyFont="1" applyBorder="1" applyAlignment="1">
      <alignment horizontal="center" vertical="center"/>
    </xf>
    <xf numFmtId="165" fontId="13" fillId="0" borderId="26" xfId="0" applyNumberFormat="1" applyFont="1" applyBorder="1" applyAlignment="1">
      <alignment horizontal="center" vertical="center"/>
    </xf>
    <xf numFmtId="165" fontId="13" fillId="0" borderId="26" xfId="0" applyNumberFormat="1" applyFont="1" applyBorder="1" applyAlignment="1">
      <alignment horizontal="left" vertical="center"/>
    </xf>
    <xf numFmtId="43" fontId="13" fillId="0" borderId="16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65" fontId="13" fillId="0" borderId="18" xfId="0" applyNumberFormat="1" applyFont="1" applyBorder="1" applyAlignment="1">
      <alignment horizontal="left" vertical="center"/>
    </xf>
    <xf numFmtId="165" fontId="13" fillId="0" borderId="50" xfId="0" applyNumberFormat="1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165" fontId="12" fillId="0" borderId="11" xfId="54" applyFont="1" applyFill="1" applyBorder="1" applyAlignment="1" applyProtection="1">
      <alignment horizontal="center" vertical="center"/>
      <protection/>
    </xf>
    <xf numFmtId="165" fontId="12" fillId="0" borderId="70" xfId="54" applyFont="1" applyFill="1" applyBorder="1" applyAlignment="1" applyProtection="1">
      <alignment horizontal="center" vertical="center"/>
      <protection/>
    </xf>
    <xf numFmtId="165" fontId="12" fillId="0" borderId="20" xfId="54" applyFont="1" applyFill="1" applyBorder="1" applyAlignment="1" applyProtection="1">
      <alignment horizontal="center" vertical="center"/>
      <protection/>
    </xf>
    <xf numFmtId="165" fontId="12" fillId="0" borderId="68" xfId="54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 indent="8"/>
    </xf>
    <xf numFmtId="0" fontId="26" fillId="0" borderId="13" xfId="0" applyFont="1" applyBorder="1" applyAlignment="1">
      <alignment horizontal="center" vertical="center"/>
    </xf>
    <xf numFmtId="165" fontId="13" fillId="0" borderId="16" xfId="54" applyFont="1" applyFill="1" applyBorder="1" applyAlignment="1" applyProtection="1">
      <alignment horizontal="right" vertical="center"/>
      <protection/>
    </xf>
    <xf numFmtId="165" fontId="13" fillId="0" borderId="26" xfId="54" applyFont="1" applyFill="1" applyBorder="1" applyAlignment="1" applyProtection="1">
      <alignment horizontal="right" vertical="center"/>
      <protection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65" fontId="13" fillId="0" borderId="18" xfId="54" applyFont="1" applyFill="1" applyBorder="1" applyAlignment="1">
      <alignment horizontal="center" vertical="center"/>
    </xf>
    <xf numFmtId="165" fontId="13" fillId="0" borderId="61" xfId="54" applyFont="1" applyFill="1" applyBorder="1" applyAlignment="1">
      <alignment horizontal="center" vertical="center"/>
    </xf>
    <xf numFmtId="165" fontId="13" fillId="0" borderId="11" xfId="54" applyFont="1" applyFill="1" applyBorder="1" applyAlignment="1">
      <alignment horizontal="center" vertical="center"/>
    </xf>
    <xf numFmtId="165" fontId="13" fillId="0" borderId="22" xfId="54" applyFont="1" applyFill="1" applyBorder="1" applyAlignment="1">
      <alignment horizontal="center" vertical="center"/>
    </xf>
    <xf numFmtId="165" fontId="13" fillId="0" borderId="69" xfId="54" applyFont="1" applyFill="1" applyBorder="1" applyAlignment="1">
      <alignment horizontal="center" vertical="center"/>
    </xf>
    <xf numFmtId="165" fontId="13" fillId="0" borderId="46" xfId="54" applyFont="1" applyFill="1" applyBorder="1" applyAlignment="1" applyProtection="1">
      <alignment horizontal="right" vertical="center"/>
      <protection/>
    </xf>
    <xf numFmtId="165" fontId="13" fillId="0" borderId="61" xfId="54" applyFont="1" applyFill="1" applyBorder="1" applyAlignment="1" applyProtection="1">
      <alignment horizontal="right" vertical="center"/>
      <protection/>
    </xf>
    <xf numFmtId="165" fontId="13" fillId="0" borderId="62" xfId="54" applyFont="1" applyFill="1" applyBorder="1" applyAlignment="1" applyProtection="1">
      <alignment horizontal="right" vertical="center"/>
      <protection/>
    </xf>
    <xf numFmtId="165" fontId="13" fillId="0" borderId="63" xfId="54" applyFont="1" applyFill="1" applyBorder="1" applyAlignment="1" applyProtection="1">
      <alignment horizontal="right" vertical="center"/>
      <protection/>
    </xf>
    <xf numFmtId="165" fontId="13" fillId="0" borderId="18" xfId="54" applyFont="1" applyFill="1" applyBorder="1" applyAlignment="1">
      <alignment horizontal="right" vertical="center"/>
    </xf>
    <xf numFmtId="165" fontId="13" fillId="0" borderId="24" xfId="54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165" fontId="13" fillId="0" borderId="24" xfId="54" applyFont="1" applyFill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4" fontId="26" fillId="0" borderId="85" xfId="0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right" vertical="center"/>
    </xf>
    <xf numFmtId="4" fontId="26" fillId="0" borderId="20" xfId="0" applyNumberFormat="1" applyFont="1" applyFill="1" applyBorder="1" applyAlignment="1">
      <alignment horizontal="right" vertical="center"/>
    </xf>
    <xf numFmtId="0" fontId="26" fillId="0" borderId="75" xfId="0" applyFont="1" applyFill="1" applyBorder="1" applyAlignment="1">
      <alignment horizontal="right" vertical="center"/>
    </xf>
    <xf numFmtId="0" fontId="26" fillId="0" borderId="68" xfId="0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LRF 6º BIMESTRE RREO 2008" xfId="48"/>
    <cellStyle name="Normal_LRF 6º BIMESTRE RREO 2009 2" xfId="49"/>
    <cellStyle name="Normal_SAUDE 3º BIM_2010" xfId="50"/>
    <cellStyle name="Nota" xfId="51"/>
    <cellStyle name="Percent" xfId="52"/>
    <cellStyle name="Saída" xfId="53"/>
    <cellStyle name="Comma" xfId="54"/>
    <cellStyle name="Comma [0]" xfId="55"/>
    <cellStyle name="Separador de milhares 2" xfId="56"/>
    <cellStyle name="Separador de milhares_LRF 6º BIMESTRE RREO 2008" xfId="57"/>
    <cellStyle name="Separador de milhares_LRF 6º BIMESTRE RREO 2009 2" xfId="58"/>
    <cellStyle name="Separador de milhares_LRF 6º BIMESTRE RREO 2010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685800</xdr:colOff>
      <xdr:row>4</xdr:row>
      <xdr:rowOff>66675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19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104</xdr:row>
      <xdr:rowOff>66675</xdr:rowOff>
    </xdr:from>
    <xdr:to>
      <xdr:col>0</xdr:col>
      <xdr:colOff>381000</xdr:colOff>
      <xdr:row>105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04800" y="25098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102</xdr:row>
      <xdr:rowOff>57150</xdr:rowOff>
    </xdr:from>
    <xdr:to>
      <xdr:col>10</xdr:col>
      <xdr:colOff>1143000</xdr:colOff>
      <xdr:row>106</xdr:row>
      <xdr:rowOff>47625</xdr:rowOff>
    </xdr:to>
    <xdr:grpSp>
      <xdr:nvGrpSpPr>
        <xdr:cNvPr id="3" name="Group 25"/>
        <xdr:cNvGrpSpPr>
          <a:grpSpLocks/>
        </xdr:cNvGrpSpPr>
      </xdr:nvGrpSpPr>
      <xdr:grpSpPr>
        <a:xfrm>
          <a:off x="523875" y="24688800"/>
          <a:ext cx="15297150" cy="1857375"/>
          <a:chOff x="55" y="2568"/>
          <a:chExt cx="1438" cy="182"/>
        </a:xfrm>
        <a:solidFill>
          <a:srgbClr val="FFFFFF"/>
        </a:solidFill>
      </xdr:grpSpPr>
      <xdr:grpSp>
        <xdr:nvGrpSpPr>
          <xdr:cNvPr id="4" name="Group 4"/>
          <xdr:cNvGrpSpPr>
            <a:grpSpLocks/>
          </xdr:cNvGrpSpPr>
        </xdr:nvGrpSpPr>
        <xdr:grpSpPr>
          <a:xfrm>
            <a:off x="90" y="2568"/>
            <a:ext cx="1272" cy="49"/>
            <a:chOff x="1421" y="39064"/>
            <a:chExt cx="20772" cy="740"/>
          </a:xfrm>
          <a:solidFill>
            <a:srgbClr val="FFFFFF"/>
          </a:solidFill>
        </xdr:grpSpPr>
        <xdr:sp fLocksText="0">
          <xdr:nvSpPr>
            <xdr:cNvPr id="5" name="Text Box 5"/>
            <xdr:cNvSpPr txBox="1">
              <a:spLocks noChangeArrowheads="1"/>
            </xdr:cNvSpPr>
          </xdr:nvSpPr>
          <xdr:spPr>
            <a:xfrm>
              <a:off x="1421" y="39092"/>
              <a:ext cx="6169" cy="6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 Mário Bittencourt Araújo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6" name="Text Box 6"/>
            <xdr:cNvSpPr txBox="1">
              <a:spLocks noChangeArrowheads="1"/>
            </xdr:cNvSpPr>
          </xdr:nvSpPr>
          <xdr:spPr>
            <a:xfrm>
              <a:off x="8670" y="39120"/>
              <a:ext cx="6128" cy="6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Maria Marphisa Barbosa Mont’alverne Frota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Município, em exercício</a:t>
              </a:r>
            </a:p>
          </xdr:txBody>
        </xdr:sp>
        <xdr:sp fLocksText="0">
          <xdr:nvSpPr>
            <xdr:cNvPr id="7" name="Text Box 7"/>
            <xdr:cNvSpPr txBox="1">
              <a:spLocks noChangeArrowheads="1"/>
            </xdr:cNvSpPr>
          </xdr:nvSpPr>
          <xdr:spPr>
            <a:xfrm>
              <a:off x="16039" y="39064"/>
              <a:ext cx="6154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" name="Group 21"/>
          <xdr:cNvGrpSpPr>
            <a:grpSpLocks/>
          </xdr:cNvGrpSpPr>
        </xdr:nvGrpSpPr>
        <xdr:grpSpPr>
          <a:xfrm>
            <a:off x="55" y="2668"/>
            <a:ext cx="1438" cy="82"/>
            <a:chOff x="120" y="2528"/>
            <a:chExt cx="1343" cy="67"/>
          </a:xfrm>
          <a:solidFill>
            <a:srgbClr val="FFFFFF"/>
          </a:solidFill>
        </xdr:grpSpPr>
        <xdr:sp>
          <xdr:nvSpPr>
            <xdr:cNvPr id="9" name="Text Box 22"/>
            <xdr:cNvSpPr txBox="1">
              <a:spLocks noChangeArrowheads="1"/>
            </xdr:cNvSpPr>
          </xdr:nvSpPr>
          <xdr:spPr>
            <a:xfrm>
              <a:off x="120" y="2543"/>
              <a:ext cx="401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Durval Ferreira Bezerra Filho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Sup. de Contabilidade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5439</a:t>
              </a:r>
            </a:p>
          </xdr:txBody>
        </xdr:sp>
        <xdr:sp>
          <xdr:nvSpPr>
            <xdr:cNvPr id="10" name="Text Box 23"/>
            <xdr:cNvSpPr txBox="1">
              <a:spLocks noChangeArrowheads="1"/>
            </xdr:cNvSpPr>
          </xdr:nvSpPr>
          <xdr:spPr>
            <a:xfrm>
              <a:off x="546" y="2534"/>
              <a:ext cx="396" cy="4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Getúlio Germano de Brito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2268/0-8</a:t>
              </a:r>
            </a:p>
          </xdr:txBody>
        </xdr:sp>
        <xdr:sp>
          <xdr:nvSpPr>
            <xdr:cNvPr id="11" name="Text Box 24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</xdr:colOff>
      <xdr:row>61</xdr:row>
      <xdr:rowOff>180975</xdr:rowOff>
    </xdr:from>
    <xdr:to>
      <xdr:col>0</xdr:col>
      <xdr:colOff>638175</xdr:colOff>
      <xdr:row>66</xdr:row>
      <xdr:rowOff>0</xdr:rowOff>
    </xdr:to>
    <xdr:pic>
      <xdr:nvPicPr>
        <xdr:cNvPr id="1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868525"/>
          <a:ext cx="619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581025</xdr:colOff>
      <xdr:row>4</xdr:row>
      <xdr:rowOff>200025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561975</xdr:colOff>
      <xdr:row>5</xdr:row>
      <xdr:rowOff>0</xdr:rowOff>
    </xdr:to>
    <xdr:pic>
      <xdr:nvPicPr>
        <xdr:cNvPr id="2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139</xdr:row>
      <xdr:rowOff>28575</xdr:rowOff>
    </xdr:from>
    <xdr:to>
      <xdr:col>13</xdr:col>
      <xdr:colOff>914400</xdr:colOff>
      <xdr:row>146</xdr:row>
      <xdr:rowOff>152400</xdr:rowOff>
    </xdr:to>
    <xdr:grpSp>
      <xdr:nvGrpSpPr>
        <xdr:cNvPr id="3" name="Group 21"/>
        <xdr:cNvGrpSpPr>
          <a:grpSpLocks/>
        </xdr:cNvGrpSpPr>
      </xdr:nvGrpSpPr>
      <xdr:grpSpPr>
        <a:xfrm>
          <a:off x="485775" y="30765750"/>
          <a:ext cx="13801725" cy="1724025"/>
          <a:chOff x="51" y="2568"/>
          <a:chExt cx="1442" cy="181"/>
        </a:xfrm>
        <a:solidFill>
          <a:srgbClr val="FFFFFF"/>
        </a:solidFill>
      </xdr:grpSpPr>
      <xdr:grpSp>
        <xdr:nvGrpSpPr>
          <xdr:cNvPr id="4" name="Group 22"/>
          <xdr:cNvGrpSpPr>
            <a:grpSpLocks/>
          </xdr:cNvGrpSpPr>
        </xdr:nvGrpSpPr>
        <xdr:grpSpPr>
          <a:xfrm>
            <a:off x="90" y="2568"/>
            <a:ext cx="1272" cy="49"/>
            <a:chOff x="1421" y="39064"/>
            <a:chExt cx="20772" cy="740"/>
          </a:xfrm>
          <a:solidFill>
            <a:srgbClr val="FFFFFF"/>
          </a:solidFill>
        </xdr:grpSpPr>
        <xdr:sp fLocksText="0">
          <xdr:nvSpPr>
            <xdr:cNvPr id="5" name="Text Box 23"/>
            <xdr:cNvSpPr txBox="1">
              <a:spLocks noChangeArrowheads="1"/>
            </xdr:cNvSpPr>
          </xdr:nvSpPr>
          <xdr:spPr>
            <a:xfrm>
              <a:off x="1421" y="39094"/>
              <a:ext cx="6174" cy="6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 Mário Bittencourt Araújo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6" name="Text Box 24"/>
            <xdr:cNvSpPr txBox="1">
              <a:spLocks noChangeArrowheads="1"/>
            </xdr:cNvSpPr>
          </xdr:nvSpPr>
          <xdr:spPr>
            <a:xfrm>
              <a:off x="8650" y="39124"/>
              <a:ext cx="6128" cy="6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Maria Marphisa Barbosa Mont’alverne Frota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Município, em exercício</a:t>
              </a:r>
            </a:p>
          </xdr:txBody>
        </xdr:sp>
        <xdr:sp fLocksText="0">
          <xdr:nvSpPr>
            <xdr:cNvPr id="7" name="Text Box 25"/>
            <xdr:cNvSpPr txBox="1">
              <a:spLocks noChangeArrowheads="1"/>
            </xdr:cNvSpPr>
          </xdr:nvSpPr>
          <xdr:spPr>
            <a:xfrm>
              <a:off x="16039" y="39064"/>
              <a:ext cx="6154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" name="Group 26"/>
          <xdr:cNvGrpSpPr>
            <a:grpSpLocks/>
          </xdr:cNvGrpSpPr>
        </xdr:nvGrpSpPr>
        <xdr:grpSpPr>
          <a:xfrm>
            <a:off x="51" y="2673"/>
            <a:ext cx="1442" cy="76"/>
            <a:chOff x="116" y="2528"/>
            <a:chExt cx="1347" cy="62"/>
          </a:xfrm>
          <a:solidFill>
            <a:srgbClr val="FFFFFF"/>
          </a:solidFill>
        </xdr:grpSpPr>
        <xdr:sp>
          <xdr:nvSpPr>
            <xdr:cNvPr id="9" name="Text Box 27"/>
            <xdr:cNvSpPr txBox="1">
              <a:spLocks noChangeArrowheads="1"/>
            </xdr:cNvSpPr>
          </xdr:nvSpPr>
          <xdr:spPr>
            <a:xfrm>
              <a:off x="116" y="2531"/>
              <a:ext cx="401" cy="5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Durval Ferreira Bezerra Filho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Sup. de Contabilidade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5439</a:t>
              </a:r>
            </a:p>
          </xdr:txBody>
        </xdr:sp>
        <xdr:sp>
          <xdr:nvSpPr>
            <xdr:cNvPr id="10" name="Text Box 28"/>
            <xdr:cNvSpPr txBox="1">
              <a:spLocks noChangeArrowheads="1"/>
            </xdr:cNvSpPr>
          </xdr:nvSpPr>
          <xdr:spPr>
            <a:xfrm>
              <a:off x="586" y="2533"/>
              <a:ext cx="397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Getúlio Germano de Brito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2268/0-8</a:t>
              </a:r>
            </a:p>
          </xdr:txBody>
        </xdr:sp>
        <xdr:sp>
          <xdr:nvSpPr>
            <xdr:cNvPr id="11" name="Text Box 29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76200</xdr:colOff>
      <xdr:row>78</xdr:row>
      <xdr:rowOff>142875</xdr:rowOff>
    </xdr:from>
    <xdr:to>
      <xdr:col>0</xdr:col>
      <xdr:colOff>600075</xdr:colOff>
      <xdr:row>82</xdr:row>
      <xdr:rowOff>152400</xdr:rowOff>
    </xdr:to>
    <xdr:pic>
      <xdr:nvPicPr>
        <xdr:cNvPr id="12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249775"/>
          <a:ext cx="523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723900</xdr:colOff>
      <xdr:row>4</xdr:row>
      <xdr:rowOff>171450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628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37</xdr:row>
      <xdr:rowOff>57150</xdr:rowOff>
    </xdr:from>
    <xdr:to>
      <xdr:col>17</xdr:col>
      <xdr:colOff>704850</xdr:colOff>
      <xdr:row>47</xdr:row>
      <xdr:rowOff>38100</xdr:rowOff>
    </xdr:to>
    <xdr:grpSp>
      <xdr:nvGrpSpPr>
        <xdr:cNvPr id="2" name="Group 10"/>
        <xdr:cNvGrpSpPr>
          <a:grpSpLocks/>
        </xdr:cNvGrpSpPr>
      </xdr:nvGrpSpPr>
      <xdr:grpSpPr>
        <a:xfrm>
          <a:off x="485775" y="7124700"/>
          <a:ext cx="16849725" cy="1885950"/>
          <a:chOff x="51" y="2569"/>
          <a:chExt cx="1442" cy="198"/>
        </a:xfrm>
        <a:solidFill>
          <a:srgbClr val="FFFFFF"/>
        </a:solidFill>
      </xdr:grpSpPr>
      <xdr:grpSp>
        <xdr:nvGrpSpPr>
          <xdr:cNvPr id="3" name="Group 11"/>
          <xdr:cNvGrpSpPr>
            <a:grpSpLocks/>
          </xdr:cNvGrpSpPr>
        </xdr:nvGrpSpPr>
        <xdr:grpSpPr>
          <a:xfrm>
            <a:off x="91" y="2569"/>
            <a:ext cx="1271" cy="51"/>
            <a:chOff x="1438" y="39064"/>
            <a:chExt cx="20756" cy="770"/>
          </a:xfrm>
          <a:solidFill>
            <a:srgbClr val="FFFFFF"/>
          </a:solidFill>
        </xdr:grpSpPr>
        <xdr:sp fLocksText="0">
          <xdr:nvSpPr>
            <xdr:cNvPr id="4" name="Text Box 12"/>
            <xdr:cNvSpPr txBox="1">
              <a:spLocks noChangeArrowheads="1"/>
            </xdr:cNvSpPr>
          </xdr:nvSpPr>
          <xdr:spPr>
            <a:xfrm>
              <a:off x="1438" y="39200"/>
              <a:ext cx="6165" cy="6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 Mário Bittencourt Araújo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5" name="Text Box 13"/>
            <xdr:cNvSpPr txBox="1">
              <a:spLocks noChangeArrowheads="1"/>
            </xdr:cNvSpPr>
          </xdr:nvSpPr>
          <xdr:spPr>
            <a:xfrm>
              <a:off x="8640" y="39064"/>
              <a:ext cx="6082" cy="6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Maria Marphisa Barbosa Mont’alverne Frota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Município, em exercício</a:t>
              </a:r>
            </a:p>
          </xdr:txBody>
        </xdr:sp>
        <xdr:sp fLocksText="0">
          <xdr:nvSpPr>
            <xdr:cNvPr id="6" name="Text Box 14"/>
            <xdr:cNvSpPr txBox="1">
              <a:spLocks noChangeArrowheads="1"/>
            </xdr:cNvSpPr>
          </xdr:nvSpPr>
          <xdr:spPr>
            <a:xfrm>
              <a:off x="16040" y="39064"/>
              <a:ext cx="6154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" name="Group 15"/>
          <xdr:cNvGrpSpPr>
            <a:grpSpLocks/>
          </xdr:cNvGrpSpPr>
        </xdr:nvGrpSpPr>
        <xdr:grpSpPr>
          <a:xfrm>
            <a:off x="51" y="2661"/>
            <a:ext cx="1442" cy="106"/>
            <a:chOff x="116" y="2504"/>
            <a:chExt cx="1347" cy="86"/>
          </a:xfrm>
          <a:solidFill>
            <a:srgbClr val="FFFFFF"/>
          </a:solidFill>
        </xdr:grpSpPr>
        <xdr:sp>
          <xdr:nvSpPr>
            <xdr:cNvPr id="8" name="Text Box 16"/>
            <xdr:cNvSpPr txBox="1">
              <a:spLocks noChangeArrowheads="1"/>
            </xdr:cNvSpPr>
          </xdr:nvSpPr>
          <xdr:spPr>
            <a:xfrm>
              <a:off x="116" y="2521"/>
              <a:ext cx="401" cy="5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Durval Ferreira Bezerra Filho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Sup. de Contabilidade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5439</a:t>
              </a:r>
            </a:p>
          </xdr:txBody>
        </xdr:sp>
        <xdr:sp>
          <xdr:nvSpPr>
            <xdr:cNvPr id="9" name="Text Box 17"/>
            <xdr:cNvSpPr txBox="1">
              <a:spLocks noChangeArrowheads="1"/>
            </xdr:cNvSpPr>
          </xdr:nvSpPr>
          <xdr:spPr>
            <a:xfrm>
              <a:off x="542" y="2504"/>
              <a:ext cx="397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Getúlio Germano de Brito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2268/0-8</a:t>
              </a:r>
            </a:p>
          </xdr:txBody>
        </xdr:sp>
        <xdr:sp>
          <xdr:nvSpPr>
            <xdr:cNvPr id="10" name="Text Box 18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695325</xdr:colOff>
      <xdr:row>4</xdr:row>
      <xdr:rowOff>152400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552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69</xdr:row>
      <xdr:rowOff>0</xdr:rowOff>
    </xdr:from>
    <xdr:to>
      <xdr:col>0</xdr:col>
      <xdr:colOff>695325</xdr:colOff>
      <xdr:row>73</xdr:row>
      <xdr:rowOff>171450</xdr:rowOff>
    </xdr:to>
    <xdr:pic>
      <xdr:nvPicPr>
        <xdr:cNvPr id="2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506325"/>
          <a:ext cx="552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69</xdr:row>
      <xdr:rowOff>0</xdr:rowOff>
    </xdr:from>
    <xdr:to>
      <xdr:col>0</xdr:col>
      <xdr:colOff>695325</xdr:colOff>
      <xdr:row>73</xdr:row>
      <xdr:rowOff>171450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506325"/>
          <a:ext cx="552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140</xdr:row>
      <xdr:rowOff>0</xdr:rowOff>
    </xdr:from>
    <xdr:to>
      <xdr:col>24</xdr:col>
      <xdr:colOff>171450</xdr:colOff>
      <xdr:row>154</xdr:row>
      <xdr:rowOff>104775</xdr:rowOff>
    </xdr:to>
    <xdr:grpSp>
      <xdr:nvGrpSpPr>
        <xdr:cNvPr id="4" name="Group 9"/>
        <xdr:cNvGrpSpPr>
          <a:grpSpLocks/>
        </xdr:cNvGrpSpPr>
      </xdr:nvGrpSpPr>
      <xdr:grpSpPr>
        <a:xfrm>
          <a:off x="504825" y="24384000"/>
          <a:ext cx="13716000" cy="2371725"/>
          <a:chOff x="53" y="2566"/>
          <a:chExt cx="1440" cy="220"/>
        </a:xfrm>
        <a:solidFill>
          <a:srgbClr val="FFFFFF"/>
        </a:solidFill>
      </xdr:grpSpPr>
      <xdr:grpSp>
        <xdr:nvGrpSpPr>
          <xdr:cNvPr id="5" name="Group 10"/>
          <xdr:cNvGrpSpPr>
            <a:grpSpLocks/>
          </xdr:cNvGrpSpPr>
        </xdr:nvGrpSpPr>
        <xdr:grpSpPr>
          <a:xfrm>
            <a:off x="90" y="2566"/>
            <a:ext cx="1272" cy="49"/>
            <a:chOff x="1421" y="39064"/>
            <a:chExt cx="20773" cy="740"/>
          </a:xfrm>
          <a:solidFill>
            <a:srgbClr val="FFFFFF"/>
          </a:solidFill>
        </xdr:grpSpPr>
        <xdr:sp fLocksText="0">
          <xdr:nvSpPr>
            <xdr:cNvPr id="6" name="Text Box 11"/>
            <xdr:cNvSpPr txBox="1">
              <a:spLocks noChangeArrowheads="1"/>
            </xdr:cNvSpPr>
          </xdr:nvSpPr>
          <xdr:spPr>
            <a:xfrm>
              <a:off x="1421" y="39094"/>
              <a:ext cx="6175" cy="6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 Mário Bittencourt Araújo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7" name="Text Box 12"/>
            <xdr:cNvSpPr txBox="1">
              <a:spLocks noChangeArrowheads="1"/>
            </xdr:cNvSpPr>
          </xdr:nvSpPr>
          <xdr:spPr>
            <a:xfrm>
              <a:off x="8671" y="39124"/>
              <a:ext cx="6107" cy="6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Maria Marphisa Barbosa Mont’alverne Frota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Município, em exercício</a:t>
              </a:r>
            </a:p>
          </xdr:txBody>
        </xdr:sp>
        <xdr:sp fLocksText="0">
          <xdr:nvSpPr>
            <xdr:cNvPr id="8" name="Text Box 13"/>
            <xdr:cNvSpPr txBox="1">
              <a:spLocks noChangeArrowheads="1"/>
            </xdr:cNvSpPr>
          </xdr:nvSpPr>
          <xdr:spPr>
            <a:xfrm>
              <a:off x="16040" y="39064"/>
              <a:ext cx="6154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" name="Group 14"/>
          <xdr:cNvGrpSpPr>
            <a:grpSpLocks/>
          </xdr:cNvGrpSpPr>
        </xdr:nvGrpSpPr>
        <xdr:grpSpPr>
          <a:xfrm>
            <a:off x="53" y="2662"/>
            <a:ext cx="1440" cy="124"/>
            <a:chOff x="118" y="2490"/>
            <a:chExt cx="1345" cy="100"/>
          </a:xfrm>
          <a:solidFill>
            <a:srgbClr val="FFFFFF"/>
          </a:solidFill>
        </xdr:grpSpPr>
        <xdr:sp>
          <xdr:nvSpPr>
            <xdr:cNvPr id="10" name="Text Box 15"/>
            <xdr:cNvSpPr txBox="1">
              <a:spLocks noChangeArrowheads="1"/>
            </xdr:cNvSpPr>
          </xdr:nvSpPr>
          <xdr:spPr>
            <a:xfrm>
              <a:off x="118" y="2492"/>
              <a:ext cx="401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Durval Ferreira Bezerra Filho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Sup. de Contabilidade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5439</a:t>
              </a:r>
            </a:p>
          </xdr:txBody>
        </xdr:sp>
        <xdr:sp>
          <xdr:nvSpPr>
            <xdr:cNvPr id="11" name="Text Box 16"/>
            <xdr:cNvSpPr txBox="1">
              <a:spLocks noChangeArrowheads="1"/>
            </xdr:cNvSpPr>
          </xdr:nvSpPr>
          <xdr:spPr>
            <a:xfrm>
              <a:off x="590" y="2490"/>
              <a:ext cx="397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Getúlio Germano de Brito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2268/0-8</a:t>
              </a:r>
            </a:p>
          </xdr:txBody>
        </xdr:sp>
        <xdr:sp>
          <xdr:nvSpPr>
            <xdr:cNvPr id="12" name="Text Box 17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771525</xdr:colOff>
      <xdr:row>5</xdr:row>
      <xdr:rowOff>19050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28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8</xdr:col>
      <xdr:colOff>219075</xdr:colOff>
      <xdr:row>49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0" y="10848975"/>
          <a:ext cx="8181975" cy="0"/>
          <a:chOff x="0" y="16775"/>
          <a:chExt cx="13568" cy="733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0" y="10848975"/>
            <a:ext cx="39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0" y="10848975"/>
            <a:ext cx="397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0" y="10848975"/>
            <a:ext cx="39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9525</xdr:colOff>
      <xdr:row>47</xdr:row>
      <xdr:rowOff>95250</xdr:rowOff>
    </xdr:from>
    <xdr:to>
      <xdr:col>19</xdr:col>
      <xdr:colOff>9525</xdr:colOff>
      <xdr:row>59</xdr:row>
      <xdr:rowOff>76200</xdr:rowOff>
    </xdr:to>
    <xdr:grpSp>
      <xdr:nvGrpSpPr>
        <xdr:cNvPr id="6" name="Group 6"/>
        <xdr:cNvGrpSpPr>
          <a:grpSpLocks/>
        </xdr:cNvGrpSpPr>
      </xdr:nvGrpSpPr>
      <xdr:grpSpPr>
        <a:xfrm>
          <a:off x="9525" y="10620375"/>
          <a:ext cx="14277975" cy="1733550"/>
          <a:chOff x="52" y="2568"/>
          <a:chExt cx="1441" cy="181"/>
        </a:xfrm>
        <a:solidFill>
          <a:srgbClr val="FFFFFF"/>
        </a:solidFill>
      </xdr:grpSpPr>
      <xdr:grpSp>
        <xdr:nvGrpSpPr>
          <xdr:cNvPr id="7" name="Group 7"/>
          <xdr:cNvGrpSpPr>
            <a:grpSpLocks/>
          </xdr:cNvGrpSpPr>
        </xdr:nvGrpSpPr>
        <xdr:grpSpPr>
          <a:xfrm>
            <a:off x="90" y="2568"/>
            <a:ext cx="1273" cy="49"/>
            <a:chOff x="1413" y="39064"/>
            <a:chExt cx="20781" cy="740"/>
          </a:xfrm>
          <a:solidFill>
            <a:srgbClr val="FFFFFF"/>
          </a:solidFill>
        </xdr:grpSpPr>
        <xdr:sp fLocksText="0">
          <xdr:nvSpPr>
            <xdr:cNvPr id="8" name="Text Box 8"/>
            <xdr:cNvSpPr txBox="1">
              <a:spLocks noChangeArrowheads="1"/>
            </xdr:cNvSpPr>
          </xdr:nvSpPr>
          <xdr:spPr>
            <a:xfrm>
              <a:off x="1418" y="39094"/>
              <a:ext cx="6182" cy="6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 Mário Bittencourt Araújo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9"/>
            <xdr:cNvSpPr txBox="1">
              <a:spLocks noChangeArrowheads="1"/>
            </xdr:cNvSpPr>
          </xdr:nvSpPr>
          <xdr:spPr>
            <a:xfrm>
              <a:off x="8104" y="39124"/>
              <a:ext cx="6104" cy="6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Maria Marphisa Barbosa Mont’alverne Frota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Município, em exercício</a:t>
              </a:r>
            </a:p>
          </xdr:txBody>
        </xdr:sp>
        <xdr:sp fLocksText="0">
          <xdr:nvSpPr>
            <xdr:cNvPr id="10" name="Text Box 10"/>
            <xdr:cNvSpPr txBox="1">
              <a:spLocks noChangeArrowheads="1"/>
            </xdr:cNvSpPr>
          </xdr:nvSpPr>
          <xdr:spPr>
            <a:xfrm>
              <a:off x="16038" y="39064"/>
              <a:ext cx="6156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11"/>
          <xdr:cNvGrpSpPr>
            <a:grpSpLocks/>
          </xdr:cNvGrpSpPr>
        </xdr:nvGrpSpPr>
        <xdr:grpSpPr>
          <a:xfrm>
            <a:off x="52" y="2649"/>
            <a:ext cx="1441" cy="100"/>
            <a:chOff x="117" y="2521"/>
            <a:chExt cx="1346" cy="82"/>
          </a:xfrm>
          <a:solidFill>
            <a:srgbClr val="FFFFFF"/>
          </a:solidFill>
        </xdr:grpSpPr>
        <xdr:sp>
          <xdr:nvSpPr>
            <xdr:cNvPr id="12" name="Text Box 12"/>
            <xdr:cNvSpPr txBox="1">
              <a:spLocks noChangeArrowheads="1"/>
            </xdr:cNvSpPr>
          </xdr:nvSpPr>
          <xdr:spPr>
            <a:xfrm>
              <a:off x="117" y="2533"/>
              <a:ext cx="401" cy="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Durval Ferreira Bezerra Filho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Sup. de Contabilidade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5439</a:t>
              </a:r>
            </a:p>
          </xdr:txBody>
        </xdr:sp>
        <xdr:sp>
          <xdr:nvSpPr>
            <xdr:cNvPr id="13" name="Text Box 13"/>
            <xdr:cNvSpPr txBox="1">
              <a:spLocks noChangeArrowheads="1"/>
            </xdr:cNvSpPr>
          </xdr:nvSpPr>
          <xdr:spPr>
            <a:xfrm>
              <a:off x="444" y="2521"/>
              <a:ext cx="472" cy="6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Getúlio Germano de Brito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2268/0-8</a:t>
              </a:r>
            </a:p>
          </xdr:txBody>
        </xdr:sp>
        <xdr:sp>
          <xdr:nvSpPr>
            <xdr:cNvPr id="14" name="Text Box 14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0</xdr:col>
      <xdr:colOff>704850</xdr:colOff>
      <xdr:row>5</xdr:row>
      <xdr:rowOff>57150</xdr:rowOff>
    </xdr:to>
    <xdr:pic>
      <xdr:nvPicPr>
        <xdr:cNvPr id="1" name="Figura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71</xdr:row>
      <xdr:rowOff>0</xdr:rowOff>
    </xdr:from>
    <xdr:to>
      <xdr:col>5</xdr:col>
      <xdr:colOff>0</xdr:colOff>
      <xdr:row>71</xdr:row>
      <xdr:rowOff>0</xdr:rowOff>
    </xdr:to>
    <xdr:grpSp>
      <xdr:nvGrpSpPr>
        <xdr:cNvPr id="2" name="Group 3"/>
        <xdr:cNvGrpSpPr>
          <a:grpSpLocks/>
        </xdr:cNvGrpSpPr>
      </xdr:nvGrpSpPr>
      <xdr:grpSpPr>
        <a:xfrm>
          <a:off x="47625" y="13506450"/>
          <a:ext cx="7953375" cy="0"/>
          <a:chOff x="81" y="21532"/>
          <a:chExt cx="15446" cy="716"/>
        </a:xfrm>
        <a:solidFill>
          <a:srgbClr val="FFFFFF"/>
        </a:solidFill>
      </xdr:grpSpPr>
      <xdr:sp fLocksText="0">
        <xdr:nvSpPr>
          <xdr:cNvPr id="3" name="Text Box 4"/>
          <xdr:cNvSpPr txBox="1">
            <a:spLocks noChangeArrowheads="1"/>
          </xdr:cNvSpPr>
        </xdr:nvSpPr>
        <xdr:spPr>
          <a:xfrm>
            <a:off x="81" y="13506450"/>
            <a:ext cx="453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5"/>
          <xdr:cNvSpPr txBox="1">
            <a:spLocks noChangeArrowheads="1"/>
          </xdr:cNvSpPr>
        </xdr:nvSpPr>
        <xdr:spPr>
          <a:xfrm>
            <a:off x="1960144456" y="13506450"/>
            <a:ext cx="490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6"/>
          <xdr:cNvSpPr txBox="1">
            <a:spLocks noChangeArrowheads="1"/>
          </xdr:cNvSpPr>
        </xdr:nvSpPr>
        <xdr:spPr>
          <a:xfrm>
            <a:off x="81" y="13506450"/>
            <a:ext cx="488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228600</xdr:colOff>
      <xdr:row>70</xdr:row>
      <xdr:rowOff>114300</xdr:rowOff>
    </xdr:from>
    <xdr:to>
      <xdr:col>20</xdr:col>
      <xdr:colOff>257175</xdr:colOff>
      <xdr:row>81</xdr:row>
      <xdr:rowOff>19050</xdr:rowOff>
    </xdr:to>
    <xdr:grpSp>
      <xdr:nvGrpSpPr>
        <xdr:cNvPr id="6" name="Group 7"/>
        <xdr:cNvGrpSpPr>
          <a:grpSpLocks/>
        </xdr:cNvGrpSpPr>
      </xdr:nvGrpSpPr>
      <xdr:grpSpPr>
        <a:xfrm>
          <a:off x="228600" y="13458825"/>
          <a:ext cx="10972800" cy="1971675"/>
          <a:chOff x="51" y="2568"/>
          <a:chExt cx="1442" cy="181"/>
        </a:xfrm>
        <a:solidFill>
          <a:srgbClr val="FFFFFF"/>
        </a:solidFill>
      </xdr:grpSpPr>
      <xdr:grpSp>
        <xdr:nvGrpSpPr>
          <xdr:cNvPr id="7" name="Group 8"/>
          <xdr:cNvGrpSpPr>
            <a:grpSpLocks/>
          </xdr:cNvGrpSpPr>
        </xdr:nvGrpSpPr>
        <xdr:grpSpPr>
          <a:xfrm>
            <a:off x="90" y="2568"/>
            <a:ext cx="1272" cy="49"/>
            <a:chOff x="1421" y="39064"/>
            <a:chExt cx="20772" cy="740"/>
          </a:xfrm>
          <a:solidFill>
            <a:srgbClr val="FFFFFF"/>
          </a:solidFill>
        </xdr:grpSpPr>
        <xdr:sp fLocksText="0">
          <xdr:nvSpPr>
            <xdr:cNvPr id="8" name="Text Box 9"/>
            <xdr:cNvSpPr txBox="1">
              <a:spLocks noChangeArrowheads="1"/>
            </xdr:cNvSpPr>
          </xdr:nvSpPr>
          <xdr:spPr>
            <a:xfrm>
              <a:off x="1421" y="39104"/>
              <a:ext cx="6195" cy="6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 Mário Bittencourt Araújo 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10"/>
            <xdr:cNvSpPr txBox="1">
              <a:spLocks noChangeArrowheads="1"/>
            </xdr:cNvSpPr>
          </xdr:nvSpPr>
          <xdr:spPr>
            <a:xfrm>
              <a:off x="8676" y="39130"/>
              <a:ext cx="6071" cy="6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Maria Marphisa B. Mont’alverne Frota 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Município, em exercício</a:t>
              </a:r>
            </a:p>
          </xdr:txBody>
        </xdr:sp>
        <xdr:sp fLocksText="0">
          <xdr:nvSpPr>
            <xdr:cNvPr id="10" name="Text Box 11"/>
            <xdr:cNvSpPr txBox="1">
              <a:spLocks noChangeArrowheads="1"/>
            </xdr:cNvSpPr>
          </xdr:nvSpPr>
          <xdr:spPr>
            <a:xfrm>
              <a:off x="16039" y="39064"/>
              <a:ext cx="6154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12"/>
          <xdr:cNvGrpSpPr>
            <a:grpSpLocks/>
          </xdr:cNvGrpSpPr>
        </xdr:nvGrpSpPr>
        <xdr:grpSpPr>
          <a:xfrm>
            <a:off x="51" y="2673"/>
            <a:ext cx="1442" cy="76"/>
            <a:chOff x="116" y="2528"/>
            <a:chExt cx="1347" cy="62"/>
          </a:xfrm>
          <a:solidFill>
            <a:srgbClr val="FFFFFF"/>
          </a:solidFill>
        </xdr:grpSpPr>
        <xdr:sp>
          <xdr:nvSpPr>
            <xdr:cNvPr id="12" name="Text Box 13"/>
            <xdr:cNvSpPr txBox="1">
              <a:spLocks noChangeArrowheads="1"/>
            </xdr:cNvSpPr>
          </xdr:nvSpPr>
          <xdr:spPr>
            <a:xfrm>
              <a:off x="116" y="2531"/>
              <a:ext cx="401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Durval Ferreira Bezerra Filho 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Sup. de Contabilidade do Município 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5439</a:t>
              </a:r>
            </a:p>
          </xdr:txBody>
        </xdr:sp>
        <xdr:sp>
          <xdr:nvSpPr>
            <xdr:cNvPr id="13" name="Text Box 14"/>
            <xdr:cNvSpPr txBox="1">
              <a:spLocks noChangeArrowheads="1"/>
            </xdr:cNvSpPr>
          </xdr:nvSpPr>
          <xdr:spPr>
            <a:xfrm>
              <a:off x="586" y="2533"/>
              <a:ext cx="395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Getúlio Germano de Brito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2268/0-8</a:t>
              </a:r>
            </a:p>
          </xdr:txBody>
        </xdr:sp>
        <xdr:sp>
          <xdr:nvSpPr>
            <xdr:cNvPr id="14" name="Text Box 15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63</xdr:row>
      <xdr:rowOff>0</xdr:rowOff>
    </xdr:from>
    <xdr:to>
      <xdr:col>11</xdr:col>
      <xdr:colOff>47625</xdr:colOff>
      <xdr:row>63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95300" y="14963775"/>
          <a:ext cx="10868025" cy="0"/>
          <a:chOff x="821" y="26691"/>
          <a:chExt cx="18538" cy="888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rrowheads="1"/>
          </xdr:cNvSpPr>
        </xdr:nvSpPr>
        <xdr:spPr>
          <a:xfrm>
            <a:off x="821" y="14963775"/>
            <a:ext cx="552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821" y="14963775"/>
            <a:ext cx="544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821" y="14963775"/>
            <a:ext cx="552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57150</xdr:colOff>
      <xdr:row>0</xdr:row>
      <xdr:rowOff>47625</xdr:rowOff>
    </xdr:from>
    <xdr:to>
      <xdr:col>0</xdr:col>
      <xdr:colOff>752475</xdr:colOff>
      <xdr:row>5</xdr:row>
      <xdr:rowOff>9525</xdr:rowOff>
    </xdr:to>
    <xdr:pic>
      <xdr:nvPicPr>
        <xdr:cNvPr id="5" name="Figura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65</xdr:row>
      <xdr:rowOff>28575</xdr:rowOff>
    </xdr:from>
    <xdr:to>
      <xdr:col>14</xdr:col>
      <xdr:colOff>219075</xdr:colOff>
      <xdr:row>76</xdr:row>
      <xdr:rowOff>9525</xdr:rowOff>
    </xdr:to>
    <xdr:grpSp>
      <xdr:nvGrpSpPr>
        <xdr:cNvPr id="6" name="Group 6"/>
        <xdr:cNvGrpSpPr>
          <a:grpSpLocks/>
        </xdr:cNvGrpSpPr>
      </xdr:nvGrpSpPr>
      <xdr:grpSpPr>
        <a:xfrm>
          <a:off x="28575" y="15363825"/>
          <a:ext cx="12611100" cy="4581525"/>
          <a:chOff x="51" y="2556"/>
          <a:chExt cx="1442" cy="206"/>
        </a:xfrm>
        <a:solidFill>
          <a:srgbClr val="FFFFFF"/>
        </a:solidFill>
      </xdr:grpSpPr>
      <xdr:grpSp>
        <xdr:nvGrpSpPr>
          <xdr:cNvPr id="7" name="Group 7"/>
          <xdr:cNvGrpSpPr>
            <a:grpSpLocks/>
          </xdr:cNvGrpSpPr>
        </xdr:nvGrpSpPr>
        <xdr:grpSpPr>
          <a:xfrm>
            <a:off x="90" y="2553"/>
            <a:ext cx="1272" cy="53"/>
            <a:chOff x="1412" y="39064"/>
            <a:chExt cx="20782" cy="805"/>
          </a:xfrm>
          <a:solidFill>
            <a:srgbClr val="FFFFFF"/>
          </a:solidFill>
        </xdr:grpSpPr>
        <xdr:sp fLocksText="0">
          <xdr:nvSpPr>
            <xdr:cNvPr id="8" name="Text Box 8"/>
            <xdr:cNvSpPr txBox="1">
              <a:spLocks noChangeArrowheads="1"/>
            </xdr:cNvSpPr>
          </xdr:nvSpPr>
          <xdr:spPr>
            <a:xfrm>
              <a:off x="1417" y="39112"/>
              <a:ext cx="6141" cy="65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 Mário Bittencourt Araújo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9"/>
            <xdr:cNvSpPr txBox="1">
              <a:spLocks noChangeArrowheads="1"/>
            </xdr:cNvSpPr>
          </xdr:nvSpPr>
          <xdr:spPr>
            <a:xfrm>
              <a:off x="8639" y="39086"/>
              <a:ext cx="6105" cy="78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Maria Marphisa Barbosa Mont’alverne Frota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Município, em exercício</a:t>
              </a:r>
            </a:p>
          </xdr:txBody>
        </xdr:sp>
        <xdr:sp fLocksText="0">
          <xdr:nvSpPr>
            <xdr:cNvPr id="10" name="Text Box 10"/>
            <xdr:cNvSpPr txBox="1">
              <a:spLocks noChangeArrowheads="1"/>
            </xdr:cNvSpPr>
          </xdr:nvSpPr>
          <xdr:spPr>
            <a:xfrm>
              <a:off x="16043" y="39064"/>
              <a:ext cx="6151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11"/>
          <xdr:cNvGrpSpPr>
            <a:grpSpLocks/>
          </xdr:cNvGrpSpPr>
        </xdr:nvGrpSpPr>
        <xdr:grpSpPr>
          <a:xfrm>
            <a:off x="51" y="2618"/>
            <a:ext cx="1440" cy="144"/>
            <a:chOff x="116" y="2473"/>
            <a:chExt cx="1347" cy="117"/>
          </a:xfrm>
          <a:solidFill>
            <a:srgbClr val="FFFFFF"/>
          </a:solidFill>
        </xdr:grpSpPr>
        <xdr:sp>
          <xdr:nvSpPr>
            <xdr:cNvPr id="12" name="Text Box 12"/>
            <xdr:cNvSpPr txBox="1">
              <a:spLocks noChangeArrowheads="1"/>
            </xdr:cNvSpPr>
          </xdr:nvSpPr>
          <xdr:spPr>
            <a:xfrm>
              <a:off x="116" y="2475"/>
              <a:ext cx="399" cy="1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Durval Ferreira Bezerra Filho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Sup. de Contabilidade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5439</a:t>
              </a:r>
            </a:p>
          </xdr:txBody>
        </xdr:sp>
        <xdr:sp>
          <xdr:nvSpPr>
            <xdr:cNvPr id="13" name="Text Box 13"/>
            <xdr:cNvSpPr txBox="1">
              <a:spLocks noChangeArrowheads="1"/>
            </xdr:cNvSpPr>
          </xdr:nvSpPr>
          <xdr:spPr>
            <a:xfrm>
              <a:off x="586" y="2473"/>
              <a:ext cx="376" cy="1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Getúlio Germano de Brito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2268/0-8</a:t>
              </a:r>
            </a:p>
          </xdr:txBody>
        </xdr:sp>
        <xdr:sp>
          <xdr:nvSpPr>
            <xdr:cNvPr id="14" name="Text Box 14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47625</xdr:rowOff>
    </xdr:from>
    <xdr:to>
      <xdr:col>0</xdr:col>
      <xdr:colOff>752475</xdr:colOff>
      <xdr:row>4</xdr:row>
      <xdr:rowOff>171450</xdr:rowOff>
    </xdr:to>
    <xdr:pic>
      <xdr:nvPicPr>
        <xdr:cNvPr id="1" name="Figuras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571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89</xdr:row>
      <xdr:rowOff>47625</xdr:rowOff>
    </xdr:from>
    <xdr:to>
      <xdr:col>0</xdr:col>
      <xdr:colOff>752475</xdr:colOff>
      <xdr:row>93</xdr:row>
      <xdr:rowOff>76200</xdr:rowOff>
    </xdr:to>
    <xdr:pic>
      <xdr:nvPicPr>
        <xdr:cNvPr id="2" name="Figuras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935575"/>
          <a:ext cx="571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819150</xdr:colOff>
      <xdr:row>185</xdr:row>
      <xdr:rowOff>0</xdr:rowOff>
    </xdr:from>
    <xdr:to>
      <xdr:col>4</xdr:col>
      <xdr:colOff>285750</xdr:colOff>
      <xdr:row>185</xdr:row>
      <xdr:rowOff>0</xdr:rowOff>
    </xdr:to>
    <xdr:grpSp>
      <xdr:nvGrpSpPr>
        <xdr:cNvPr id="3" name="Group 8"/>
        <xdr:cNvGrpSpPr>
          <a:grpSpLocks/>
        </xdr:cNvGrpSpPr>
      </xdr:nvGrpSpPr>
      <xdr:grpSpPr>
        <a:xfrm>
          <a:off x="819150" y="39719250"/>
          <a:ext cx="7400925" cy="0"/>
          <a:chOff x="1359" y="50126"/>
          <a:chExt cx="12463" cy="722"/>
        </a:xfrm>
        <a:solidFill>
          <a:srgbClr val="FFFFFF"/>
        </a:solidFill>
      </xdr:grpSpPr>
      <xdr:sp fLocksText="0">
        <xdr:nvSpPr>
          <xdr:cNvPr id="4" name="Text Box 9"/>
          <xdr:cNvSpPr txBox="1">
            <a:spLocks noChangeArrowheads="1"/>
          </xdr:cNvSpPr>
        </xdr:nvSpPr>
        <xdr:spPr>
          <a:xfrm>
            <a:off x="1479078415" y="39719250"/>
            <a:ext cx="360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5" name="Text Box 10"/>
          <xdr:cNvSpPr txBox="1">
            <a:spLocks noChangeArrowheads="1"/>
          </xdr:cNvSpPr>
        </xdr:nvSpPr>
        <xdr:spPr>
          <a:xfrm>
            <a:off x="1359" y="39719250"/>
            <a:ext cx="360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B. Mont’alverne Frota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6" name="Text Box 11"/>
          <xdr:cNvSpPr txBox="1">
            <a:spLocks noChangeArrowheads="1"/>
          </xdr:cNvSpPr>
        </xdr:nvSpPr>
        <xdr:spPr>
          <a:xfrm>
            <a:off x="1813655729" y="39719250"/>
            <a:ext cx="360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2124075</xdr:colOff>
      <xdr:row>185</xdr:row>
      <xdr:rowOff>66675</xdr:rowOff>
    </xdr:from>
    <xdr:to>
      <xdr:col>30</xdr:col>
      <xdr:colOff>133350</xdr:colOff>
      <xdr:row>197</xdr:row>
      <xdr:rowOff>0</xdr:rowOff>
    </xdr:to>
    <xdr:grpSp>
      <xdr:nvGrpSpPr>
        <xdr:cNvPr id="7" name="Group 15"/>
        <xdr:cNvGrpSpPr>
          <a:grpSpLocks/>
        </xdr:cNvGrpSpPr>
      </xdr:nvGrpSpPr>
      <xdr:grpSpPr>
        <a:xfrm>
          <a:off x="2124075" y="39785925"/>
          <a:ext cx="13773150" cy="1962150"/>
          <a:chOff x="51" y="2565"/>
          <a:chExt cx="1442" cy="239"/>
        </a:xfrm>
        <a:solidFill>
          <a:srgbClr val="FFFFFF"/>
        </a:solidFill>
      </xdr:grpSpPr>
      <xdr:grpSp>
        <xdr:nvGrpSpPr>
          <xdr:cNvPr id="8" name="Group 16"/>
          <xdr:cNvGrpSpPr>
            <a:grpSpLocks/>
          </xdr:cNvGrpSpPr>
        </xdr:nvGrpSpPr>
        <xdr:grpSpPr>
          <a:xfrm>
            <a:off x="95" y="2565"/>
            <a:ext cx="1267" cy="93"/>
            <a:chOff x="1484" y="39064"/>
            <a:chExt cx="20710" cy="1405"/>
          </a:xfrm>
          <a:solidFill>
            <a:srgbClr val="FFFFFF"/>
          </a:solidFill>
        </xdr:grpSpPr>
        <xdr:sp fLocksText="0">
          <xdr:nvSpPr>
            <xdr:cNvPr id="9" name="Text Box 17"/>
            <xdr:cNvSpPr txBox="1">
              <a:spLocks noChangeArrowheads="1"/>
            </xdr:cNvSpPr>
          </xdr:nvSpPr>
          <xdr:spPr>
            <a:xfrm>
              <a:off x="1484" y="39642"/>
              <a:ext cx="6208" cy="8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 Mário Bittencourt Araújo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10" name="Text Box 18"/>
            <xdr:cNvSpPr txBox="1">
              <a:spLocks noChangeArrowheads="1"/>
            </xdr:cNvSpPr>
          </xdr:nvSpPr>
          <xdr:spPr>
            <a:xfrm>
              <a:off x="8670" y="39467"/>
              <a:ext cx="6146" cy="64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Maria Marphisa Barbosa Mont’alverne Frota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Município, em exercício</a:t>
              </a:r>
            </a:p>
          </xdr:txBody>
        </xdr:sp>
        <xdr:sp fLocksText="0">
          <xdr:nvSpPr>
            <xdr:cNvPr id="11" name="Text Box 19"/>
            <xdr:cNvSpPr txBox="1">
              <a:spLocks noChangeArrowheads="1"/>
            </xdr:cNvSpPr>
          </xdr:nvSpPr>
          <xdr:spPr>
            <a:xfrm>
              <a:off x="16038" y="39064"/>
              <a:ext cx="6156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" name="Group 20"/>
          <xdr:cNvGrpSpPr>
            <a:grpSpLocks/>
          </xdr:cNvGrpSpPr>
        </xdr:nvGrpSpPr>
        <xdr:grpSpPr>
          <a:xfrm>
            <a:off x="51" y="2653"/>
            <a:ext cx="1442" cy="151"/>
            <a:chOff x="116" y="2528"/>
            <a:chExt cx="1347" cy="124"/>
          </a:xfrm>
          <a:solidFill>
            <a:srgbClr val="FFFFFF"/>
          </a:solidFill>
        </xdr:grpSpPr>
        <xdr:sp>
          <xdr:nvSpPr>
            <xdr:cNvPr id="13" name="Text Box 21"/>
            <xdr:cNvSpPr txBox="1">
              <a:spLocks noChangeArrowheads="1"/>
            </xdr:cNvSpPr>
          </xdr:nvSpPr>
          <xdr:spPr>
            <a:xfrm>
              <a:off x="116" y="2582"/>
              <a:ext cx="401" cy="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Durval Ferreira Bezerra Filho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Sup. de Contabilidade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5439</a:t>
              </a:r>
            </a:p>
          </xdr:txBody>
        </xdr:sp>
        <xdr:sp>
          <xdr:nvSpPr>
            <xdr:cNvPr id="14" name="Text Box 22"/>
            <xdr:cNvSpPr txBox="1">
              <a:spLocks noChangeArrowheads="1"/>
            </xdr:cNvSpPr>
          </xdr:nvSpPr>
          <xdr:spPr>
            <a:xfrm>
              <a:off x="585" y="2577"/>
              <a:ext cx="401" cy="5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Getúlio Germano de Brito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2268/0-8</a:t>
              </a:r>
            </a:p>
          </xdr:txBody>
        </xdr:sp>
        <xdr:sp>
          <xdr:nvSpPr>
            <xdr:cNvPr id="15" name="Text Box 23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180975</xdr:colOff>
      <xdr:row>163</xdr:row>
      <xdr:rowOff>85725</xdr:rowOff>
    </xdr:from>
    <xdr:to>
      <xdr:col>0</xdr:col>
      <xdr:colOff>752475</xdr:colOff>
      <xdr:row>167</xdr:row>
      <xdr:rowOff>200025</xdr:rowOff>
    </xdr:to>
    <xdr:pic>
      <xdr:nvPicPr>
        <xdr:cNvPr id="16" name="Figuras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4909125"/>
          <a:ext cx="571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114300</xdr:rowOff>
    </xdr:from>
    <xdr:to>
      <xdr:col>0</xdr:col>
      <xdr:colOff>609600</xdr:colOff>
      <xdr:row>4</xdr:row>
      <xdr:rowOff>114300</xdr:rowOff>
    </xdr:to>
    <xdr:pic>
      <xdr:nvPicPr>
        <xdr:cNvPr id="1" name="Figuras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54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99</xdr:row>
      <xdr:rowOff>0</xdr:rowOff>
    </xdr:from>
    <xdr:to>
      <xdr:col>4</xdr:col>
      <xdr:colOff>895350</xdr:colOff>
      <xdr:row>99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95275" y="25022175"/>
          <a:ext cx="8905875" cy="0"/>
          <a:chOff x="1215" y="38223"/>
          <a:chExt cx="12496" cy="731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96339766" y="25022175"/>
            <a:ext cx="366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1494182293" y="25022175"/>
            <a:ext cx="363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1215" y="25022175"/>
            <a:ext cx="36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0</xdr:colOff>
      <xdr:row>97</xdr:row>
      <xdr:rowOff>152400</xdr:rowOff>
    </xdr:from>
    <xdr:to>
      <xdr:col>9</xdr:col>
      <xdr:colOff>238125</xdr:colOff>
      <xdr:row>108</xdr:row>
      <xdr:rowOff>19050</xdr:rowOff>
    </xdr:to>
    <xdr:grpSp>
      <xdr:nvGrpSpPr>
        <xdr:cNvPr id="6" name="Group 16"/>
        <xdr:cNvGrpSpPr>
          <a:grpSpLocks/>
        </xdr:cNvGrpSpPr>
      </xdr:nvGrpSpPr>
      <xdr:grpSpPr>
        <a:xfrm>
          <a:off x="0" y="24850725"/>
          <a:ext cx="13868400" cy="1905000"/>
          <a:chOff x="51" y="2556"/>
          <a:chExt cx="1442" cy="231"/>
        </a:xfrm>
        <a:solidFill>
          <a:srgbClr val="FFFFFF"/>
        </a:solidFill>
      </xdr:grpSpPr>
      <xdr:grpSp>
        <xdr:nvGrpSpPr>
          <xdr:cNvPr id="7" name="Group 17"/>
          <xdr:cNvGrpSpPr>
            <a:grpSpLocks/>
          </xdr:cNvGrpSpPr>
        </xdr:nvGrpSpPr>
        <xdr:grpSpPr>
          <a:xfrm>
            <a:off x="90" y="2556"/>
            <a:ext cx="1272" cy="120"/>
            <a:chOff x="1421" y="39064"/>
            <a:chExt cx="20773" cy="1820"/>
          </a:xfrm>
          <a:solidFill>
            <a:srgbClr val="FFFFFF"/>
          </a:solidFill>
        </xdr:grpSpPr>
        <xdr:sp fLocksText="0">
          <xdr:nvSpPr>
            <xdr:cNvPr id="8" name="Text Box 18"/>
            <xdr:cNvSpPr txBox="1">
              <a:spLocks noChangeArrowheads="1"/>
            </xdr:cNvSpPr>
          </xdr:nvSpPr>
          <xdr:spPr>
            <a:xfrm>
              <a:off x="1421" y="39519"/>
              <a:ext cx="6180" cy="13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 Mário Bittencourt Araújo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19"/>
            <xdr:cNvSpPr txBox="1">
              <a:spLocks noChangeArrowheads="1"/>
            </xdr:cNvSpPr>
          </xdr:nvSpPr>
          <xdr:spPr>
            <a:xfrm>
              <a:off x="8676" y="39414"/>
              <a:ext cx="6097" cy="12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Maria Marphisa Barbosa Mont’alverne Frota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Município, em exercício</a:t>
              </a:r>
            </a:p>
          </xdr:txBody>
        </xdr:sp>
        <xdr:sp fLocksText="0">
          <xdr:nvSpPr>
            <xdr:cNvPr id="10" name="Text Box 20"/>
            <xdr:cNvSpPr txBox="1">
              <a:spLocks noChangeArrowheads="1"/>
            </xdr:cNvSpPr>
          </xdr:nvSpPr>
          <xdr:spPr>
            <a:xfrm>
              <a:off x="16040" y="39064"/>
              <a:ext cx="6154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21"/>
          <xdr:cNvGrpSpPr>
            <a:grpSpLocks/>
          </xdr:cNvGrpSpPr>
        </xdr:nvGrpSpPr>
        <xdr:grpSpPr>
          <a:xfrm>
            <a:off x="51" y="2673"/>
            <a:ext cx="1442" cy="114"/>
            <a:chOff x="116" y="2528"/>
            <a:chExt cx="1347" cy="93"/>
          </a:xfrm>
          <a:solidFill>
            <a:srgbClr val="FFFFFF"/>
          </a:solidFill>
        </xdr:grpSpPr>
        <xdr:sp>
          <xdr:nvSpPr>
            <xdr:cNvPr id="12" name="Text Box 22"/>
            <xdr:cNvSpPr txBox="1">
              <a:spLocks noChangeArrowheads="1"/>
            </xdr:cNvSpPr>
          </xdr:nvSpPr>
          <xdr:spPr>
            <a:xfrm>
              <a:off x="116" y="2546"/>
              <a:ext cx="401" cy="7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Durval Ferreira Bezerra Filho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Sup. de Contabilidade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5439</a:t>
              </a:r>
            </a:p>
          </xdr:txBody>
        </xdr:sp>
        <xdr:sp>
          <xdr:nvSpPr>
            <xdr:cNvPr id="13" name="Text Box 23"/>
            <xdr:cNvSpPr txBox="1">
              <a:spLocks noChangeArrowheads="1"/>
            </xdr:cNvSpPr>
          </xdr:nvSpPr>
          <xdr:spPr>
            <a:xfrm>
              <a:off x="550" y="2538"/>
              <a:ext cx="397" cy="7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Getúlio Germano de Brito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2268/0-8</a:t>
              </a:r>
            </a:p>
          </xdr:txBody>
        </xdr:sp>
        <xdr:sp>
          <xdr:nvSpPr>
            <xdr:cNvPr id="14" name="Text Box 24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85725</xdr:colOff>
      <xdr:row>57</xdr:row>
      <xdr:rowOff>19050</xdr:rowOff>
    </xdr:from>
    <xdr:to>
      <xdr:col>0</xdr:col>
      <xdr:colOff>628650</xdr:colOff>
      <xdr:row>61</xdr:row>
      <xdr:rowOff>28575</xdr:rowOff>
    </xdr:to>
    <xdr:pic>
      <xdr:nvPicPr>
        <xdr:cNvPr id="15" name="Figuras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5049500"/>
          <a:ext cx="542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air%202010\Or&#231;amento\LOA%202010\LRF\Documents%20and%20Settings\All%20Users\Disco%20Virtual%202005\LRF\2004\AnexosRREO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Nair%202010\Or&#231;amento\LOA%202010\LRF\LRF\2008\REEO%2002_2008%20RRE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LRF\2008\REEO%2002_2008%20RRE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LRF\2008\REEO%2002_2008%20RRE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Nair%202010\Or&#231;amento\LOA%202010\LRF\LRF%20-%203o%20bimest%202009\LRF\2008\REEO%2002_2008%20RRE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LRF%20-%203o%20bimest%202009\LRF\2008\REEO%2002_2008%20RRE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LRF%20-%203o%20bimest%202009\LRF\2008\REEO%2002_2008%20RRE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LRF+2&#186;+BI%20-%2028-05-2010%20-%2018H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LRF%20-%203o%20bimest%202009\LRF%206&#186;%20BIMESTRE%20RREO%202009%20-%2025-02-2010%20sergi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Receitas%202008%20e%202009%20para%20audi&#234;ncia%203o%20Quadr%202009%20-%2023-02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Documents%20and%20Settings\All%20Users\Disco%20Virtual%202005\LRF\2004\AnexosRREO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LRF\LRF%204&#186;%20BIMESTRE%20RREO%202010%20-%20config%20assinaturas%20-%2013-10-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LRF%204&#186;%20BIMESTRE%20RREO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Documents%20and%20Settings\All%20Users\Disco%20Virtual%202005\LRF\2004\AnexosRREO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air%202010\Or&#231;amento\LOA%202010\LRF\Documents%20and%20Settings\SergioHC.CLEARPATH\Desktop\Disco%20Virtual%202005\LRF\2005\12_2005%20RRE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Documents%20and%20Settings\SergioHC.CLEARPATH\Desktop\Disco%20Virtual%202005\LRF\2005\12_2005%20RRE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Documents%20and%20Settings\SergioHC.CLEARPATH\Desktop\Disco%20Virtual%202005\LRF\2005\12_2005%20RRE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Nair%202010\Or&#231;amento\LOA%202010\LRF\Documents%20and%20Settings\SergioHC.CLEARPATH\Desktop\Disco%20Virtual\LRF\2006\06_2006%20RRE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Documents%20and%20Settings\SergioHC.CLEARPATH\Desktop\Disco%20Virtual\LRF\2006\06_2006%20RRE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Documents%20and%20Settings\SergioHC.CLEARPATH\Desktop\Disco%20Virtual\LRF\2006\06_2006%20RRE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exo VII _ RES PRIM"/>
      <sheetName val="Anexo X _ ENSINO"/>
      <sheetName val="Anexo I-BAL ORC."/>
      <sheetName val="Anexo II-DP FUNC"/>
      <sheetName val="Anexo III - RCL"/>
      <sheetName val="Anexo V - PREVID"/>
      <sheetName val="Anexo VI - RES NOM"/>
      <sheetName val="Anexo VII - RES PRIM"/>
      <sheetName val="Anexo IX - RP"/>
      <sheetName val="Anexo X - ENSINO"/>
      <sheetName val="Anexo XII-PROJ AT REG GERAL HIP"/>
      <sheetName val="Anexo XVII - Simplificad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nexo VII _ RES PRIM"/>
      <sheetName val="Anexo X _ ENSINO"/>
      <sheetName val="Anexo I-BAL ORC."/>
      <sheetName val="Anexo II-DP FUNC"/>
      <sheetName val="Anexo III - RCL"/>
      <sheetName val="Anexo V - PREVID"/>
      <sheetName val="Anexo VI - RES NOM"/>
      <sheetName val="Anexo VII - RES PRIM"/>
      <sheetName val="Anexo IX - RP"/>
      <sheetName val="Anexo X - ENSINO"/>
      <sheetName val="Anexo XII-PROJ AT REG GERAL HIP"/>
      <sheetName val="Anexo XVII - Simplificad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nexo VII _ RES PRIM"/>
      <sheetName val="Anexo X _ ENSINO"/>
      <sheetName val="Anexo I-BAL ORC."/>
      <sheetName val="Anexo II-DP FUNC"/>
      <sheetName val="Anexo III - RCL"/>
      <sheetName val="Anexo V - PREVID"/>
      <sheetName val="Anexo VI - RES NOM"/>
      <sheetName val="Anexo VII - RES PRIM"/>
      <sheetName val="Anexo IX - RP"/>
      <sheetName val="Anexo X - ENSINO"/>
      <sheetName val="Anexo XII-PROJ AT REG GERAL HIP"/>
      <sheetName val="Anexo XVII - Simplificad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_"/>
      <sheetName val="Anexo II_DP FUNC"/>
      <sheetName val="Anexo III _ RCL"/>
      <sheetName val="Anexo V _ PREVID "/>
      <sheetName val="Anexo VI _ RES NOM"/>
      <sheetName val="Anexo VII _ RES PRIM"/>
      <sheetName val="Anexo XII_PROJ AT REG GERAL HIP"/>
      <sheetName val="Anexo IX _ RP"/>
      <sheetName val="Anexo X _ ENSINO"/>
      <sheetName val="Plan1"/>
      <sheetName val="Anexo XVII _ Simplificado"/>
    </sheetNames>
    <sheetDataSet>
      <sheetData sheetId="1">
        <row r="58">
          <cell r="H58">
            <v>77068344.08999999</v>
          </cell>
        </row>
        <row r="127">
          <cell r="C127">
            <v>53371025</v>
          </cell>
        </row>
      </sheetData>
      <sheetData sheetId="9">
        <row r="65">
          <cell r="C65">
            <v>25556993.780000005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nexo II_DP FUNC"/>
      <sheetName val="Anexo VI _ RES NOM"/>
    </sheetNames>
    <sheetDataSet>
      <sheetData sheetId="0">
        <row r="122">
          <cell r="A122" t="str">
            <v>a) Despesas liquidadas, consideradas aquelas em que houve a entrega do material ou serviço, nos termos do art. 63 da Lei 4.320/64;</v>
          </cell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</row>
        <row r="123">
          <cell r="A123" t="str">
            <v>b) Despesas empenhadas mas não liquidadas, inscritas em Restos a Pagar não-processados, consideradas liquidadas no encerramento do exercício, por força do art.35, inciso II da Lei 4.320/64.</v>
          </cell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</row>
      </sheetData>
      <sheetData sheetId="1">
        <row r="43">
          <cell r="A43" t="str">
            <v>FONTE: SECRETARIA MUNICIPAL DA FAZENDA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_"/>
      <sheetName val="Anexo II_DP FUNC "/>
      <sheetName val="Anexo III _ RCL"/>
      <sheetName val="Anexo V _ PREVID "/>
      <sheetName val="Anexo VI _ RES NOM"/>
      <sheetName val="Anexo VII _ RES PRIM"/>
      <sheetName val="Anexo IX _ RP"/>
      <sheetName val="Anexo X _ ENSINO"/>
      <sheetName val="Anexo XII_PROJ AT REG GERAL HIP"/>
      <sheetName val="Anexo XVI SAÚDE"/>
      <sheetName val="Anexo XVII _ Simplificado"/>
    </sheetNames>
    <sheetDataSet>
      <sheetData sheetId="5">
        <row r="68">
          <cell r="A68" t="str">
            <v>FONTE: SECRETARIA MUNICIPAL DA FAZENDA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ceita 2009"/>
    </sheetNames>
    <sheetDataSet>
      <sheetData sheetId="0">
        <row r="56">
          <cell r="R56">
            <v>871002.8399999999</v>
          </cell>
        </row>
        <row r="102">
          <cell r="R102">
            <v>254284330.13</v>
          </cell>
        </row>
        <row r="110">
          <cell r="R110">
            <v>79576048.2</v>
          </cell>
        </row>
        <row r="111">
          <cell r="R111">
            <v>58097746.769999996</v>
          </cell>
        </row>
        <row r="216">
          <cell r="R216">
            <v>48356255.139000006</v>
          </cell>
        </row>
        <row r="217">
          <cell r="R217">
            <v>1100.586</v>
          </cell>
        </row>
        <row r="219">
          <cell r="R219">
            <v>698316.842</v>
          </cell>
        </row>
        <row r="222">
          <cell r="R222">
            <v>50824696.532000005</v>
          </cell>
        </row>
        <row r="223">
          <cell r="R223">
            <v>8315649.396</v>
          </cell>
        </row>
        <row r="224">
          <cell r="R224">
            <v>621313.572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_"/>
      <sheetName val="Anexo II_DP FUNC"/>
      <sheetName val="Anexo III _ RCL"/>
      <sheetName val="Anexo V _ PREVID "/>
      <sheetName val="Anexo VI _ RES NOM"/>
      <sheetName val="Anexo VII _ RES PRIM"/>
      <sheetName val="Anexo IX _ RP"/>
      <sheetName val="Anexo X _ ENSINO"/>
      <sheetName val="Anexo XII_PROJ AT REG GERAL HIP"/>
      <sheetName val="Anexo XVII _ Simplificado"/>
    </sheetNames>
    <sheetDataSet>
      <sheetData sheetId="1">
        <row r="59">
          <cell r="H59">
            <v>184914556.92999998</v>
          </cell>
        </row>
      </sheetData>
      <sheetData sheetId="2">
        <row r="35">
          <cell r="A35" t="str">
            <v>FONTE: SECRETARIA MUNICIPAL DA FAZENDA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"/>
      <sheetName val="Anexo II_DP FUNC"/>
      <sheetName val="Anexo III _ RCL"/>
      <sheetName val="Anexo V _ PREVID "/>
      <sheetName val="Anexo VI _ RES NOM"/>
      <sheetName val="Anexo VII _ RES PRIM"/>
      <sheetName val="Anexo XII_PROJ AT REG GERAL HIP"/>
      <sheetName val="Anexo IX _ RP"/>
      <sheetName val="Anexo X _ ENSINO"/>
      <sheetName val="Anexo XVIII _ Simplificado"/>
    </sheetNames>
    <sheetDataSet>
      <sheetData sheetId="0">
        <row r="12">
          <cell r="G12">
            <v>327032133.66</v>
          </cell>
        </row>
        <row r="13">
          <cell r="G13">
            <v>10012121.33</v>
          </cell>
        </row>
        <row r="14">
          <cell r="G14">
            <v>0</v>
          </cell>
        </row>
        <row r="16">
          <cell r="G16">
            <v>33534312.94</v>
          </cell>
        </row>
        <row r="17">
          <cell r="G17">
            <v>36605698.99</v>
          </cell>
        </row>
        <row r="19">
          <cell r="G19">
            <v>166700.72</v>
          </cell>
        </row>
        <row r="20">
          <cell r="G20">
            <v>18908458.86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54854.61</v>
          </cell>
        </row>
        <row r="24">
          <cell r="G24">
            <v>131943.79</v>
          </cell>
        </row>
        <row r="25">
          <cell r="G25">
            <v>131943.79</v>
          </cell>
        </row>
        <row r="27">
          <cell r="G27">
            <v>749302508.96</v>
          </cell>
        </row>
        <row r="28">
          <cell r="G28">
            <v>20000</v>
          </cell>
        </row>
        <row r="29">
          <cell r="G29">
            <v>5206326.45</v>
          </cell>
        </row>
        <row r="31">
          <cell r="G31">
            <v>13620204.34</v>
          </cell>
        </row>
        <row r="32">
          <cell r="G32">
            <v>229109.61</v>
          </cell>
        </row>
        <row r="33">
          <cell r="G33">
            <v>9602136.98</v>
          </cell>
        </row>
        <row r="34">
          <cell r="G34">
            <v>8739525.39</v>
          </cell>
        </row>
        <row r="37">
          <cell r="G37">
            <v>15304980.45</v>
          </cell>
        </row>
        <row r="38">
          <cell r="G38">
            <v>9151975.4</v>
          </cell>
        </row>
        <row r="40">
          <cell r="G40">
            <v>0</v>
          </cell>
        </row>
        <row r="41">
          <cell r="G41">
            <v>82194.64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424292.43</v>
          </cell>
        </row>
        <row r="47">
          <cell r="G47">
            <v>0</v>
          </cell>
        </row>
        <row r="48">
          <cell r="G48">
            <v>37871944.89</v>
          </cell>
        </row>
        <row r="52">
          <cell r="G52">
            <v>0</v>
          </cell>
        </row>
        <row r="53">
          <cell r="G53">
            <v>0</v>
          </cell>
        </row>
        <row r="55">
          <cell r="G55">
            <v>0</v>
          </cell>
        </row>
        <row r="75">
          <cell r="F75">
            <v>744491977.64</v>
          </cell>
          <cell r="H75">
            <v>506217016.07000005</v>
          </cell>
        </row>
        <row r="76">
          <cell r="F76">
            <v>872409.2</v>
          </cell>
          <cell r="H76">
            <v>485347.16</v>
          </cell>
        </row>
        <row r="77">
          <cell r="F77">
            <v>677521775.14</v>
          </cell>
          <cell r="H77">
            <v>504983204.02</v>
          </cell>
        </row>
        <row r="79">
          <cell r="F79">
            <v>285547931.95</v>
          </cell>
        </row>
        <row r="80">
          <cell r="F80">
            <v>0</v>
          </cell>
          <cell r="H80">
            <v>0</v>
          </cell>
        </row>
        <row r="81">
          <cell r="F81">
            <v>25420659.11</v>
          </cell>
          <cell r="H81">
            <v>16280855.2</v>
          </cell>
        </row>
        <row r="82">
          <cell r="F82">
            <v>0</v>
          </cell>
          <cell r="H82">
            <v>0</v>
          </cell>
        </row>
        <row r="83">
          <cell r="F83">
            <v>0</v>
          </cell>
          <cell r="H83">
            <v>0</v>
          </cell>
        </row>
        <row r="84">
          <cell r="F84">
            <v>60450126.23</v>
          </cell>
        </row>
        <row r="88">
          <cell r="F88">
            <v>0</v>
          </cell>
        </row>
        <row r="89">
          <cell r="F89">
            <v>0</v>
          </cell>
        </row>
        <row r="91">
          <cell r="F91">
            <v>0</v>
          </cell>
        </row>
        <row r="92">
          <cell r="F92">
            <v>0</v>
          </cell>
        </row>
      </sheetData>
      <sheetData sheetId="1">
        <row r="14">
          <cell r="F14">
            <v>0</v>
          </cell>
          <cell r="H14">
            <v>0</v>
          </cell>
        </row>
        <row r="15">
          <cell r="F15">
            <v>0</v>
          </cell>
          <cell r="H15">
            <v>0</v>
          </cell>
        </row>
        <row r="16">
          <cell r="F16">
            <v>0</v>
          </cell>
          <cell r="H16">
            <v>0</v>
          </cell>
        </row>
        <row r="18">
          <cell r="F18">
            <v>497681.24</v>
          </cell>
          <cell r="H18">
            <v>193795.19</v>
          </cell>
        </row>
        <row r="19">
          <cell r="F19">
            <v>12849730.53</v>
          </cell>
          <cell r="H19">
            <v>7478291.1</v>
          </cell>
        </row>
        <row r="21">
          <cell r="F21">
            <v>21647839.92</v>
          </cell>
          <cell r="H21">
            <v>11020684.23</v>
          </cell>
        </row>
        <row r="22">
          <cell r="F22">
            <v>175115911.76</v>
          </cell>
          <cell r="H22">
            <v>108475365.44</v>
          </cell>
        </row>
        <row r="23">
          <cell r="F23">
            <v>2406608.92</v>
          </cell>
          <cell r="H23">
            <v>2215336.37</v>
          </cell>
        </row>
        <row r="24">
          <cell r="F24">
            <v>510.86</v>
          </cell>
          <cell r="H24">
            <v>510.86</v>
          </cell>
        </row>
        <row r="25">
          <cell r="F25">
            <v>10697265.19</v>
          </cell>
          <cell r="H25">
            <v>7222958.39</v>
          </cell>
        </row>
        <row r="26">
          <cell r="F26">
            <v>0</v>
          </cell>
          <cell r="H26">
            <v>0</v>
          </cell>
        </row>
        <row r="27">
          <cell r="F27">
            <v>5857000</v>
          </cell>
          <cell r="H27">
            <v>4241349.03</v>
          </cell>
        </row>
        <row r="28">
          <cell r="F28">
            <v>12856047.68</v>
          </cell>
          <cell r="H28">
            <v>11438076.5</v>
          </cell>
        </row>
        <row r="29">
          <cell r="F29">
            <v>2300</v>
          </cell>
          <cell r="H29">
            <v>920</v>
          </cell>
        </row>
        <row r="31">
          <cell r="F31">
            <v>18841192.69</v>
          </cell>
          <cell r="H31">
            <v>10969770.25</v>
          </cell>
        </row>
        <row r="32">
          <cell r="F32">
            <v>1113660</v>
          </cell>
          <cell r="H32">
            <v>200160</v>
          </cell>
        </row>
        <row r="33">
          <cell r="F33">
            <v>0</v>
          </cell>
          <cell r="H33">
            <v>0</v>
          </cell>
        </row>
        <row r="35">
          <cell r="F35">
            <v>12777458.67</v>
          </cell>
          <cell r="H35">
            <v>8031603.47</v>
          </cell>
        </row>
        <row r="36">
          <cell r="F36">
            <v>150146</v>
          </cell>
          <cell r="H36">
            <v>117859.01</v>
          </cell>
        </row>
        <row r="37">
          <cell r="F37">
            <v>80000</v>
          </cell>
          <cell r="H37">
            <v>80000</v>
          </cell>
        </row>
        <row r="38">
          <cell r="F38">
            <v>3509365.72</v>
          </cell>
          <cell r="H38">
            <v>3002680.75</v>
          </cell>
        </row>
        <row r="39">
          <cell r="F39">
            <v>8610280.88</v>
          </cell>
          <cell r="H39">
            <v>6328414.94</v>
          </cell>
        </row>
        <row r="41">
          <cell r="F41">
            <v>3965024.02</v>
          </cell>
          <cell r="H41">
            <v>2397616.31</v>
          </cell>
        </row>
        <row r="42">
          <cell r="F42">
            <v>0</v>
          </cell>
          <cell r="H42">
            <v>0</v>
          </cell>
        </row>
        <row r="43">
          <cell r="F43">
            <v>79190750.66</v>
          </cell>
          <cell r="H43">
            <v>71084986.12</v>
          </cell>
        </row>
        <row r="45">
          <cell r="F45">
            <v>0</v>
          </cell>
          <cell r="H45">
            <v>0</v>
          </cell>
        </row>
        <row r="46">
          <cell r="F46">
            <v>225822389.91</v>
          </cell>
          <cell r="H46">
            <v>130034263.71</v>
          </cell>
        </row>
        <row r="47">
          <cell r="F47">
            <v>0</v>
          </cell>
          <cell r="H47">
            <v>0</v>
          </cell>
        </row>
        <row r="48">
          <cell r="F48">
            <v>0</v>
          </cell>
          <cell r="H48">
            <v>0</v>
          </cell>
        </row>
        <row r="49">
          <cell r="F49">
            <v>174620</v>
          </cell>
          <cell r="H49">
            <v>154840</v>
          </cell>
        </row>
        <row r="50">
          <cell r="F50">
            <v>29989495.65</v>
          </cell>
          <cell r="H50">
            <v>19329415.11</v>
          </cell>
        </row>
        <row r="51">
          <cell r="F51">
            <v>252809166.73</v>
          </cell>
          <cell r="H51">
            <v>183531366.87</v>
          </cell>
        </row>
        <row r="52">
          <cell r="F52">
            <v>16537221.54</v>
          </cell>
          <cell r="H52">
            <v>7316478.08</v>
          </cell>
        </row>
        <row r="53">
          <cell r="F53">
            <v>665334.5</v>
          </cell>
          <cell r="H53">
            <v>383139.38</v>
          </cell>
        </row>
        <row r="54">
          <cell r="F54">
            <v>10526242.86</v>
          </cell>
          <cell r="H54">
            <v>5982633.2</v>
          </cell>
        </row>
        <row r="56">
          <cell r="F56">
            <v>0</v>
          </cell>
          <cell r="H56">
            <v>0</v>
          </cell>
        </row>
        <row r="57">
          <cell r="F57">
            <v>673545.66</v>
          </cell>
          <cell r="H57">
            <v>449619.81</v>
          </cell>
        </row>
        <row r="58">
          <cell r="F58">
            <v>0</v>
          </cell>
          <cell r="H58">
            <v>0</v>
          </cell>
        </row>
        <row r="59">
          <cell r="F59">
            <v>0</v>
          </cell>
          <cell r="H59">
            <v>0</v>
          </cell>
        </row>
        <row r="61">
          <cell r="F61">
            <v>4213290.48</v>
          </cell>
          <cell r="H61">
            <v>2640885.18</v>
          </cell>
        </row>
        <row r="62">
          <cell r="F62">
            <v>0</v>
          </cell>
          <cell r="H62">
            <v>0</v>
          </cell>
        </row>
        <row r="63">
          <cell r="F63">
            <v>35122737.51</v>
          </cell>
          <cell r="H63">
            <v>22938406.58</v>
          </cell>
        </row>
        <row r="64">
          <cell r="F64">
            <v>176496170.44</v>
          </cell>
          <cell r="H64">
            <v>155601705.18</v>
          </cell>
        </row>
        <row r="65">
          <cell r="F65">
            <v>29701715.44</v>
          </cell>
          <cell r="H65">
            <v>21129088.09</v>
          </cell>
        </row>
        <row r="66">
          <cell r="F66">
            <v>4417182.94</v>
          </cell>
          <cell r="H66">
            <v>4376781.04</v>
          </cell>
        </row>
        <row r="67">
          <cell r="F67">
            <v>1817609.61</v>
          </cell>
          <cell r="H67">
            <v>1817609.61</v>
          </cell>
        </row>
        <row r="68">
          <cell r="F68">
            <v>0</v>
          </cell>
          <cell r="H68">
            <v>0</v>
          </cell>
        </row>
        <row r="70">
          <cell r="F70">
            <v>4772188.73</v>
          </cell>
          <cell r="H70">
            <v>2958241.92</v>
          </cell>
        </row>
        <row r="71">
          <cell r="F71">
            <v>0</v>
          </cell>
          <cell r="H71">
            <v>0</v>
          </cell>
        </row>
        <row r="72">
          <cell r="F72">
            <v>1466786.92</v>
          </cell>
          <cell r="H72">
            <v>329224.33</v>
          </cell>
        </row>
        <row r="73">
          <cell r="F73">
            <v>23265721.35</v>
          </cell>
          <cell r="H73">
            <v>15171519.24</v>
          </cell>
        </row>
        <row r="75">
          <cell r="F75">
            <v>1778213.22</v>
          </cell>
          <cell r="H75">
            <v>1056462.67</v>
          </cell>
        </row>
        <row r="76">
          <cell r="F76">
            <v>16760560</v>
          </cell>
          <cell r="H76">
            <v>8575540.46</v>
          </cell>
        </row>
        <row r="77">
          <cell r="F77">
            <v>262025.26</v>
          </cell>
          <cell r="H77">
            <v>261372.16</v>
          </cell>
        </row>
        <row r="91">
          <cell r="F91">
            <v>0</v>
          </cell>
          <cell r="H91">
            <v>0</v>
          </cell>
        </row>
        <row r="92">
          <cell r="F92">
            <v>42338009.6</v>
          </cell>
          <cell r="H92">
            <v>23020083.57</v>
          </cell>
        </row>
        <row r="93">
          <cell r="F93">
            <v>4955957.51</v>
          </cell>
          <cell r="H93">
            <v>4938019.56</v>
          </cell>
        </row>
        <row r="94">
          <cell r="F94">
            <v>119490.55</v>
          </cell>
          <cell r="H94">
            <v>119490.55</v>
          </cell>
        </row>
        <row r="95">
          <cell r="F95">
            <v>2176586.04</v>
          </cell>
          <cell r="H95">
            <v>978909.07</v>
          </cell>
        </row>
        <row r="96">
          <cell r="F96">
            <v>43283379.81</v>
          </cell>
          <cell r="H96">
            <v>29599688.3</v>
          </cell>
        </row>
        <row r="98">
          <cell r="F98">
            <v>105291.11</v>
          </cell>
          <cell r="H98">
            <v>105291.11</v>
          </cell>
        </row>
        <row r="100">
          <cell r="F100">
            <v>79006709.16</v>
          </cell>
          <cell r="H100">
            <v>61716499.55</v>
          </cell>
        </row>
        <row r="101">
          <cell r="F101">
            <v>51756370.23</v>
          </cell>
          <cell r="H101">
            <v>5083795.43</v>
          </cell>
        </row>
        <row r="103">
          <cell r="F103">
            <v>0</v>
          </cell>
          <cell r="H103">
            <v>0</v>
          </cell>
        </row>
        <row r="104">
          <cell r="F104">
            <v>0</v>
          </cell>
          <cell r="H104">
            <v>0</v>
          </cell>
        </row>
        <row r="105">
          <cell r="F105">
            <v>0</v>
          </cell>
          <cell r="H105">
            <v>0</v>
          </cell>
        </row>
        <row r="106">
          <cell r="F106">
            <v>0</v>
          </cell>
          <cell r="H106">
            <v>0</v>
          </cell>
        </row>
        <row r="108">
          <cell r="F108">
            <v>0</v>
          </cell>
          <cell r="H108">
            <v>0</v>
          </cell>
        </row>
        <row r="109">
          <cell r="F109">
            <v>0</v>
          </cell>
          <cell r="H109">
            <v>0</v>
          </cell>
        </row>
        <row r="110">
          <cell r="F110">
            <v>2488154</v>
          </cell>
          <cell r="H110">
            <v>2222130.56</v>
          </cell>
        </row>
        <row r="111">
          <cell r="F111">
            <v>2393936.87</v>
          </cell>
          <cell r="H111">
            <v>724436.87</v>
          </cell>
        </row>
        <row r="113">
          <cell r="F113">
            <v>0</v>
          </cell>
          <cell r="H113">
            <v>0</v>
          </cell>
        </row>
        <row r="114">
          <cell r="F114">
            <v>0</v>
          </cell>
          <cell r="H114">
            <v>0</v>
          </cell>
        </row>
        <row r="115">
          <cell r="F115">
            <v>7446901.73</v>
          </cell>
          <cell r="H115">
            <v>4893524.54</v>
          </cell>
        </row>
        <row r="117">
          <cell r="F117">
            <v>25527405.11</v>
          </cell>
          <cell r="H117">
            <v>16069910.84</v>
          </cell>
        </row>
        <row r="118">
          <cell r="F118">
            <v>175531304.4</v>
          </cell>
          <cell r="H118">
            <v>105080271.01</v>
          </cell>
        </row>
        <row r="119">
          <cell r="F119">
            <v>27104367.53</v>
          </cell>
          <cell r="H119">
            <v>22772273.84</v>
          </cell>
        </row>
        <row r="121">
          <cell r="F121">
            <v>3501687.72</v>
          </cell>
          <cell r="H121">
            <v>2229908.91</v>
          </cell>
        </row>
        <row r="122">
          <cell r="F122">
            <v>2236192.35</v>
          </cell>
          <cell r="H122">
            <v>520106.95</v>
          </cell>
        </row>
        <row r="123">
          <cell r="F123">
            <v>6116730.28</v>
          </cell>
          <cell r="H123">
            <v>5884355.05</v>
          </cell>
        </row>
        <row r="125">
          <cell r="F125">
            <v>6163908.31</v>
          </cell>
          <cell r="H125">
            <v>5024196.35</v>
          </cell>
        </row>
        <row r="126">
          <cell r="F126">
            <v>44161377.24</v>
          </cell>
          <cell r="H126">
            <v>31791255.39</v>
          </cell>
        </row>
        <row r="128">
          <cell r="F128">
            <v>0</v>
          </cell>
          <cell r="H128">
            <v>0</v>
          </cell>
        </row>
        <row r="130">
          <cell r="F130">
            <v>60450126.23</v>
          </cell>
          <cell r="H130">
            <v>40359483.14</v>
          </cell>
        </row>
      </sheetData>
      <sheetData sheetId="3">
        <row r="15">
          <cell r="F15">
            <v>32432079.13</v>
          </cell>
        </row>
        <row r="16">
          <cell r="F16">
            <v>857642.59</v>
          </cell>
        </row>
        <row r="17">
          <cell r="F17">
            <v>244591.22</v>
          </cell>
        </row>
        <row r="24">
          <cell r="F24">
            <v>0</v>
          </cell>
        </row>
        <row r="25">
          <cell r="F25">
            <v>12495331.65</v>
          </cell>
        </row>
        <row r="26">
          <cell r="F26">
            <v>449873.58</v>
          </cell>
        </row>
        <row r="29">
          <cell r="F29">
            <v>229109.61</v>
          </cell>
        </row>
        <row r="30">
          <cell r="F30">
            <v>139379.83</v>
          </cell>
        </row>
        <row r="35">
          <cell r="F35">
            <v>0</v>
          </cell>
        </row>
        <row r="36">
          <cell r="F36">
            <v>0</v>
          </cell>
        </row>
        <row r="46">
          <cell r="F46">
            <v>2356576.31</v>
          </cell>
        </row>
        <row r="47">
          <cell r="F47">
            <v>41040</v>
          </cell>
        </row>
        <row r="50">
          <cell r="F50">
            <v>68502036.01</v>
          </cell>
        </row>
        <row r="51">
          <cell r="F51">
            <v>15332065.27</v>
          </cell>
        </row>
        <row r="52">
          <cell r="F52">
            <v>0</v>
          </cell>
        </row>
        <row r="60">
          <cell r="F60">
            <v>0</v>
          </cell>
        </row>
        <row r="85">
          <cell r="F85">
            <v>15658290.87</v>
          </cell>
        </row>
        <row r="106">
          <cell r="F106">
            <v>39092121.25</v>
          </cell>
        </row>
        <row r="108">
          <cell r="F108">
            <v>0</v>
          </cell>
        </row>
      </sheetData>
      <sheetData sheetId="5">
        <row r="12">
          <cell r="D12">
            <v>31083770.41</v>
          </cell>
        </row>
        <row r="13">
          <cell r="D13">
            <v>258779244.55</v>
          </cell>
        </row>
        <row r="14">
          <cell r="D14">
            <v>11672132.48</v>
          </cell>
        </row>
        <row r="15">
          <cell r="D15">
            <v>25496986.22</v>
          </cell>
        </row>
        <row r="16">
          <cell r="D16">
            <v>10012121.329999983</v>
          </cell>
        </row>
        <row r="18">
          <cell r="D18">
            <v>33534312.94</v>
          </cell>
        </row>
        <row r="19">
          <cell r="D19">
            <v>36605698.99</v>
          </cell>
        </row>
        <row r="21">
          <cell r="D21">
            <v>19130014.189999998</v>
          </cell>
        </row>
        <row r="22">
          <cell r="D22">
            <v>18908458.86</v>
          </cell>
        </row>
        <row r="24">
          <cell r="D24">
            <v>185368291.81</v>
          </cell>
        </row>
        <row r="25">
          <cell r="D25">
            <v>188796291.01</v>
          </cell>
        </row>
        <row r="26">
          <cell r="D26">
            <v>5206326.45</v>
          </cell>
        </row>
        <row r="27">
          <cell r="D27">
            <v>373937749.78</v>
          </cell>
        </row>
        <row r="29">
          <cell r="D29">
            <v>9602136.98</v>
          </cell>
        </row>
        <row r="30">
          <cell r="D30">
            <v>22720783.13</v>
          </cell>
        </row>
        <row r="32">
          <cell r="D32">
            <v>24456955.85</v>
          </cell>
        </row>
        <row r="33">
          <cell r="D33">
            <v>0</v>
          </cell>
        </row>
        <row r="34">
          <cell r="D34">
            <v>82194.64</v>
          </cell>
        </row>
        <row r="36">
          <cell r="D36">
            <v>424292.43</v>
          </cell>
        </row>
        <row r="37">
          <cell r="D37">
            <v>0</v>
          </cell>
        </row>
        <row r="38">
          <cell r="D38">
            <v>0</v>
          </cell>
        </row>
      </sheetData>
      <sheetData sheetId="8">
        <row r="14">
          <cell r="E14">
            <v>31083770.41</v>
          </cell>
        </row>
        <row r="15">
          <cell r="E15">
            <v>1326367.86</v>
          </cell>
        </row>
        <row r="16">
          <cell r="E16">
            <v>2203585.84</v>
          </cell>
        </row>
        <row r="17">
          <cell r="E17">
            <v>857070.52</v>
          </cell>
        </row>
        <row r="18">
          <cell r="E18">
            <v>0</v>
          </cell>
        </row>
        <row r="20">
          <cell r="E20">
            <v>11672132.48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6">
          <cell r="E26">
            <v>258779244.55</v>
          </cell>
        </row>
        <row r="27">
          <cell r="E27">
            <v>1200536.31</v>
          </cell>
        </row>
        <row r="28">
          <cell r="E28">
            <v>6895691.41</v>
          </cell>
        </row>
        <row r="29">
          <cell r="E29">
            <v>2477207.22</v>
          </cell>
        </row>
        <row r="32">
          <cell r="E32">
            <v>25496986.22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5">
          <cell r="E45">
            <v>231710364.5</v>
          </cell>
        </row>
        <row r="46">
          <cell r="E46">
            <v>0</v>
          </cell>
        </row>
        <row r="47">
          <cell r="E47">
            <v>235995363.47</v>
          </cell>
        </row>
        <row r="48">
          <cell r="E48">
            <v>2218093.04</v>
          </cell>
        </row>
        <row r="49">
          <cell r="E49">
            <v>2709557.89</v>
          </cell>
        </row>
        <row r="50">
          <cell r="E50">
            <v>9785.8</v>
          </cell>
        </row>
        <row r="51">
          <cell r="E51">
            <v>54159915.64</v>
          </cell>
        </row>
        <row r="52">
          <cell r="E52">
            <v>0</v>
          </cell>
        </row>
        <row r="60">
          <cell r="E60">
            <v>2478889.51</v>
          </cell>
        </row>
        <row r="61">
          <cell r="E61">
            <v>1707956.13</v>
          </cell>
        </row>
        <row r="62">
          <cell r="E62">
            <v>0</v>
          </cell>
        </row>
        <row r="64">
          <cell r="E64">
            <v>189956.84</v>
          </cell>
        </row>
        <row r="65">
          <cell r="E65">
            <v>1218167.92</v>
          </cell>
        </row>
        <row r="66">
          <cell r="E66">
            <v>0</v>
          </cell>
        </row>
        <row r="67">
          <cell r="E67">
            <v>0</v>
          </cell>
        </row>
        <row r="74">
          <cell r="E74">
            <v>46342072.690000005</v>
          </cell>
        </row>
        <row r="75">
          <cell r="E75">
            <v>47199072.46400001</v>
          </cell>
        </row>
        <row r="76">
          <cell r="E76">
            <v>443618.558</v>
          </cell>
        </row>
        <row r="77">
          <cell r="E77">
            <v>541911.6080000001</v>
          </cell>
        </row>
        <row r="78">
          <cell r="E78">
            <v>1957.11</v>
          </cell>
        </row>
        <row r="79">
          <cell r="E79">
            <v>10831983.218</v>
          </cell>
        </row>
        <row r="81">
          <cell r="E81">
            <v>73434485.58</v>
          </cell>
        </row>
        <row r="82">
          <cell r="E82">
            <v>67277096.48</v>
          </cell>
        </row>
        <row r="83">
          <cell r="E83">
            <v>965501.7</v>
          </cell>
        </row>
        <row r="103">
          <cell r="E103">
            <v>14398432.59</v>
          </cell>
        </row>
        <row r="104">
          <cell r="E104">
            <v>85691794.88</v>
          </cell>
        </row>
        <row r="106">
          <cell r="E106">
            <v>3989533.13</v>
          </cell>
        </row>
        <row r="107">
          <cell r="E107">
            <v>28873360.03</v>
          </cell>
        </row>
        <row r="129">
          <cell r="E129">
            <v>2061572.63</v>
          </cell>
        </row>
        <row r="132">
          <cell r="E132">
            <v>56092012.17</v>
          </cell>
        </row>
        <row r="136">
          <cell r="E136">
            <v>0</v>
          </cell>
        </row>
        <row r="156">
          <cell r="E156">
            <v>0</v>
          </cell>
        </row>
        <row r="157">
          <cell r="E157">
            <v>5625388.85</v>
          </cell>
        </row>
        <row r="158">
          <cell r="E158">
            <v>0</v>
          </cell>
        </row>
        <row r="159">
          <cell r="E159">
            <v>1908538.21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X110"/>
  <sheetViews>
    <sheetView showGridLines="0" view="pageBreakPreview" zoomScale="85" zoomScaleSheetLayoutView="85" workbookViewId="0" topLeftCell="A1">
      <selection activeCell="D65" sqref="D65"/>
    </sheetView>
  </sheetViews>
  <sheetFormatPr defaultColWidth="6.140625" defaultRowHeight="15.75" customHeight="1"/>
  <cols>
    <col min="1" max="1" width="46.8515625" style="37" customWidth="1"/>
    <col min="2" max="2" width="18.421875" style="2" customWidth="1"/>
    <col min="3" max="3" width="19.00390625" style="2" customWidth="1"/>
    <col min="4" max="4" width="21.8515625" style="2" customWidth="1"/>
    <col min="5" max="5" width="19.140625" style="2" customWidth="1"/>
    <col min="6" max="6" width="21.28125" style="2" customWidth="1"/>
    <col min="7" max="7" width="20.28125" style="2" customWidth="1"/>
    <col min="8" max="8" width="20.421875" style="2" customWidth="1"/>
    <col min="9" max="9" width="21.28125" style="2" customWidth="1"/>
    <col min="10" max="10" width="11.57421875" style="2" bestFit="1" customWidth="1"/>
    <col min="11" max="11" width="22.57421875" style="2" customWidth="1"/>
    <col min="12" max="12" width="18.57421875" style="1" bestFit="1" customWidth="1"/>
    <col min="13" max="13" width="32.7109375" style="3" bestFit="1" customWidth="1"/>
    <col min="14" max="15" width="17.140625" style="3" customWidth="1"/>
    <col min="16" max="17" width="4.00390625" style="1" customWidth="1"/>
    <col min="18" max="18" width="12.00390625" style="1" customWidth="1"/>
    <col min="19" max="16384" width="6.140625" style="1" customWidth="1"/>
  </cols>
  <sheetData>
    <row r="1" spans="1:12" ht="18.75" customHeight="1">
      <c r="A1" s="72" t="s">
        <v>0</v>
      </c>
      <c r="B1" s="72"/>
      <c r="C1" s="72"/>
      <c r="D1" s="72"/>
      <c r="E1" s="72"/>
      <c r="F1" s="526"/>
      <c r="G1" s="1307"/>
      <c r="H1" s="1307"/>
      <c r="I1" s="4"/>
      <c r="J1" s="72"/>
      <c r="K1" s="72"/>
      <c r="L1" s="5"/>
    </row>
    <row r="2" spans="1:12" ht="18.75" customHeight="1">
      <c r="A2" s="73" t="s">
        <v>1</v>
      </c>
      <c r="B2" s="73"/>
      <c r="C2" s="73"/>
      <c r="D2" s="73"/>
      <c r="E2" s="73"/>
      <c r="F2" s="527"/>
      <c r="G2" s="73"/>
      <c r="H2" s="73"/>
      <c r="I2" s="73"/>
      <c r="J2" s="73"/>
      <c r="K2" s="73"/>
      <c r="L2" s="5"/>
    </row>
    <row r="3" spans="1:12" ht="18.75" customHeight="1">
      <c r="A3" s="74" t="s">
        <v>2</v>
      </c>
      <c r="B3" s="74"/>
      <c r="C3" s="74"/>
      <c r="D3" s="74"/>
      <c r="E3" s="74"/>
      <c r="F3" s="528"/>
      <c r="G3" s="6"/>
      <c r="H3" s="882" t="s">
        <v>789</v>
      </c>
      <c r="I3" s="883"/>
      <c r="J3" s="883"/>
      <c r="K3" s="884"/>
      <c r="L3" s="5"/>
    </row>
    <row r="4" spans="1:12" ht="18.75" customHeight="1">
      <c r="A4" s="1308" t="s">
        <v>785</v>
      </c>
      <c r="B4" s="1308"/>
      <c r="C4" s="1308"/>
      <c r="D4" s="1308"/>
      <c r="E4" s="1308"/>
      <c r="F4" s="1308"/>
      <c r="G4" s="6"/>
      <c r="H4" s="711" t="s">
        <v>790</v>
      </c>
      <c r="I4" s="7"/>
      <c r="J4" s="8"/>
      <c r="K4" s="8"/>
      <c r="L4" s="5"/>
    </row>
    <row r="5" spans="1:12" ht="18.75" customHeight="1">
      <c r="A5" s="558" t="s">
        <v>675</v>
      </c>
      <c r="B5" s="6"/>
      <c r="C5" s="6"/>
      <c r="D5" s="6"/>
      <c r="E5" s="6"/>
      <c r="F5" s="6"/>
      <c r="G5" s="6"/>
      <c r="H5" s="590"/>
      <c r="I5" s="9"/>
      <c r="J5" s="10"/>
      <c r="K5" s="11" t="s">
        <v>661</v>
      </c>
      <c r="L5" s="468"/>
    </row>
    <row r="6" spans="1:12" ht="30.75" customHeight="1">
      <c r="A6" s="702" t="s">
        <v>3</v>
      </c>
      <c r="B6" s="12" t="s">
        <v>4</v>
      </c>
      <c r="C6" s="13" t="s">
        <v>5</v>
      </c>
      <c r="D6" s="1309" t="s">
        <v>6</v>
      </c>
      <c r="E6" s="1309"/>
      <c r="F6" s="1309"/>
      <c r="G6" s="1309"/>
      <c r="H6" s="1309"/>
      <c r="I6" s="14"/>
      <c r="J6" s="15"/>
      <c r="K6" s="16" t="s">
        <v>7</v>
      </c>
      <c r="L6" s="5"/>
    </row>
    <row r="7" spans="1:12" ht="13.5" customHeight="1">
      <c r="A7" s="529"/>
      <c r="B7" s="17"/>
      <c r="C7" s="17"/>
      <c r="D7" s="1310" t="s">
        <v>8</v>
      </c>
      <c r="E7" s="1310"/>
      <c r="F7" s="18" t="s">
        <v>9</v>
      </c>
      <c r="G7" s="1311" t="s">
        <v>10</v>
      </c>
      <c r="H7" s="1311"/>
      <c r="I7" s="1311"/>
      <c r="J7" s="18" t="s">
        <v>9</v>
      </c>
      <c r="K7" s="18"/>
      <c r="L7" s="5"/>
    </row>
    <row r="8" spans="1:12" ht="15.75" customHeight="1">
      <c r="A8" s="530"/>
      <c r="B8" s="19"/>
      <c r="C8" s="19" t="s">
        <v>11</v>
      </c>
      <c r="D8" s="1312" t="s">
        <v>12</v>
      </c>
      <c r="E8" s="1312"/>
      <c r="F8" s="20" t="s">
        <v>13</v>
      </c>
      <c r="G8" s="1313" t="s">
        <v>14</v>
      </c>
      <c r="H8" s="1313"/>
      <c r="I8" s="1313"/>
      <c r="J8" s="20" t="s">
        <v>15</v>
      </c>
      <c r="K8" s="18" t="s">
        <v>16</v>
      </c>
      <c r="L8" s="5"/>
    </row>
    <row r="9" spans="1:13" ht="24" customHeight="1">
      <c r="A9" s="531" t="s">
        <v>17</v>
      </c>
      <c r="B9" s="21">
        <f>B10+B35</f>
        <v>2576551706</v>
      </c>
      <c r="C9" s="22">
        <f>C10+C35</f>
        <v>2591945291.49</v>
      </c>
      <c r="D9" s="1314">
        <f>D10+D35</f>
        <v>275117928.76</v>
      </c>
      <c r="E9" s="1315"/>
      <c r="F9" s="23">
        <f>D9/C9*100</f>
        <v>10.614341655407639</v>
      </c>
      <c r="G9" s="1316">
        <f>G10+G35</f>
        <v>1513247408.3100002</v>
      </c>
      <c r="H9" s="1316"/>
      <c r="I9" s="1316"/>
      <c r="J9" s="24">
        <f>G9/C9*100</f>
        <v>58.38269091860725</v>
      </c>
      <c r="K9" s="22">
        <f>K10+K35</f>
        <v>1078697883.1799998</v>
      </c>
      <c r="L9" s="718"/>
      <c r="M9" s="719"/>
    </row>
    <row r="10" spans="1:15" s="31" customFormat="1" ht="18.75" customHeight="1">
      <c r="A10" s="25" t="s">
        <v>18</v>
      </c>
      <c r="B10" s="26">
        <f>B11+B15+B18+B24+B26+B30</f>
        <v>2330380920</v>
      </c>
      <c r="C10" s="26">
        <f>C11+C15+C18+C24+C26+C30</f>
        <v>2345774505.49</v>
      </c>
      <c r="D10" s="1317">
        <f>D11+D15+D18+D24+D26+D30</f>
        <v>272624996.64</v>
      </c>
      <c r="E10" s="1317"/>
      <c r="F10" s="27">
        <f>D10/C10*100</f>
        <v>11.621960934520958</v>
      </c>
      <c r="G10" s="1317">
        <f>G11+G15+G18+G24+G26+G30</f>
        <v>1485791033.2700002</v>
      </c>
      <c r="H10" s="1317"/>
      <c r="I10" s="1317"/>
      <c r="J10" s="26">
        <f>G10/C10*100</f>
        <v>63.339039186958814</v>
      </c>
      <c r="K10" s="28">
        <f>K11+K15+K18+K24+K26+K30</f>
        <v>859983472.2199999</v>
      </c>
      <c r="L10" s="47"/>
      <c r="M10" s="30"/>
      <c r="N10" s="30"/>
      <c r="O10" s="30"/>
    </row>
    <row r="11" spans="1:15" s="31" customFormat="1" ht="18.75" customHeight="1">
      <c r="A11" s="699" t="s">
        <v>19</v>
      </c>
      <c r="B11" s="829">
        <f>B12+B13+B14</f>
        <v>689797115</v>
      </c>
      <c r="C11" s="26">
        <f>C12+C13+C14</f>
        <v>689832515</v>
      </c>
      <c r="D11" s="1318">
        <f>D12+D13+D14</f>
        <v>79763582.39999996</v>
      </c>
      <c r="E11" s="1318"/>
      <c r="F11" s="27">
        <f>D11/C11*100</f>
        <v>11.562746125412769</v>
      </c>
      <c r="G11" s="1319">
        <f>G12+G13+G14</f>
        <v>416807837.39</v>
      </c>
      <c r="H11" s="1319"/>
      <c r="I11" s="1319"/>
      <c r="J11" s="26">
        <f>G11/C11*100</f>
        <v>60.42159920368497</v>
      </c>
      <c r="K11" s="43">
        <f>K12+K13+K14</f>
        <v>273024677.61</v>
      </c>
      <c r="L11" s="842"/>
      <c r="M11" s="30"/>
      <c r="N11" s="30"/>
      <c r="O11" s="30"/>
    </row>
    <row r="12" spans="1:15" s="37" customFormat="1" ht="18.75" customHeight="1">
      <c r="A12" s="38" t="s">
        <v>20</v>
      </c>
      <c r="B12" s="32">
        <v>672713997</v>
      </c>
      <c r="C12" s="32">
        <v>672749397</v>
      </c>
      <c r="D12" s="1320">
        <f>G12-'[21]Anexo I_BAL ORC'!G12</f>
        <v>78379607.90999997</v>
      </c>
      <c r="E12" s="1321"/>
      <c r="F12" s="33">
        <f>D12/C12*100</f>
        <v>11.650639637808546</v>
      </c>
      <c r="G12" s="1322">
        <v>405411741.57</v>
      </c>
      <c r="H12" s="1322"/>
      <c r="I12" s="1322"/>
      <c r="J12" s="32">
        <f>G12/C12*100</f>
        <v>60.261925670666926</v>
      </c>
      <c r="K12" s="34">
        <f>C12-G12</f>
        <v>267337655.43</v>
      </c>
      <c r="L12" s="35"/>
      <c r="M12" s="91"/>
      <c r="N12" s="36"/>
      <c r="O12" s="36"/>
    </row>
    <row r="13" spans="1:15" s="37" customFormat="1" ht="18.75" customHeight="1">
      <c r="A13" s="38" t="s">
        <v>21</v>
      </c>
      <c r="B13" s="32">
        <v>17083118</v>
      </c>
      <c r="C13" s="32">
        <f>B13</f>
        <v>17083118</v>
      </c>
      <c r="D13" s="1320">
        <f>G13-'[21]Anexo I_BAL ORC'!G13</f>
        <v>1383974.4900000002</v>
      </c>
      <c r="E13" s="1321"/>
      <c r="F13" s="33">
        <f>D13/C13*100</f>
        <v>8.101416205168167</v>
      </c>
      <c r="G13" s="1322">
        <v>11396095.82</v>
      </c>
      <c r="H13" s="1322"/>
      <c r="I13" s="1322"/>
      <c r="J13" s="32">
        <f>G13/C13*100</f>
        <v>66.709694448051</v>
      </c>
      <c r="K13" s="34">
        <f>C13-G13</f>
        <v>5687022.18</v>
      </c>
      <c r="L13" s="35"/>
      <c r="M13" s="36"/>
      <c r="N13" s="36"/>
      <c r="O13" s="36"/>
    </row>
    <row r="14" spans="1:15" s="37" customFormat="1" ht="18.75" customHeight="1">
      <c r="A14" s="38" t="s">
        <v>22</v>
      </c>
      <c r="B14" s="39">
        <v>0</v>
      </c>
      <c r="C14" s="39">
        <f>B14</f>
        <v>0</v>
      </c>
      <c r="D14" s="1320">
        <f>G14-'[21]Anexo I_BAL ORC'!G14</f>
        <v>0</v>
      </c>
      <c r="E14" s="1321"/>
      <c r="F14" s="39" t="s">
        <v>23</v>
      </c>
      <c r="G14" s="1322">
        <v>0</v>
      </c>
      <c r="H14" s="1322"/>
      <c r="I14" s="1322"/>
      <c r="J14" s="32">
        <v>0</v>
      </c>
      <c r="K14" s="34">
        <f>C14-G14</f>
        <v>0</v>
      </c>
      <c r="L14" s="35"/>
      <c r="M14" s="36"/>
      <c r="N14" s="36"/>
      <c r="O14" s="36"/>
    </row>
    <row r="15" spans="1:15" s="31" customFormat="1" ht="18.75" customHeight="1">
      <c r="A15" s="699" t="s">
        <v>24</v>
      </c>
      <c r="B15" s="26">
        <f>B16+B17</f>
        <v>125947957</v>
      </c>
      <c r="C15" s="26">
        <f>C16+C17</f>
        <v>125947957</v>
      </c>
      <c r="D15" s="1318">
        <f>D16+D17</f>
        <v>8211602.1499999985</v>
      </c>
      <c r="E15" s="1318"/>
      <c r="F15" s="27">
        <f aca="true" t="shared" si="0" ref="F15:F20">D15/C15*100</f>
        <v>6.519837515109514</v>
      </c>
      <c r="G15" s="1319">
        <f>G16+G17</f>
        <v>78351614.08</v>
      </c>
      <c r="H15" s="1319"/>
      <c r="I15" s="1319"/>
      <c r="J15" s="26">
        <f aca="true" t="shared" si="1" ref="J15:J20">G15/C15*100</f>
        <v>62.20951569702714</v>
      </c>
      <c r="K15" s="43">
        <f>K16+K17</f>
        <v>47596342.919999994</v>
      </c>
      <c r="L15" s="29"/>
      <c r="M15" s="30"/>
      <c r="N15" s="30"/>
      <c r="O15" s="30"/>
    </row>
    <row r="16" spans="1:15" s="37" customFormat="1" ht="18.75" customHeight="1">
      <c r="A16" s="38" t="s">
        <v>25</v>
      </c>
      <c r="B16" s="32">
        <v>69085622</v>
      </c>
      <c r="C16" s="32">
        <f>B16</f>
        <v>69085622</v>
      </c>
      <c r="D16" s="1320">
        <f>G16-'[21]Anexo I_BAL ORC'!G16</f>
        <v>-1504321.990000002</v>
      </c>
      <c r="E16" s="1321"/>
      <c r="F16" s="33">
        <f t="shared" si="0"/>
        <v>-2.17747477181287</v>
      </c>
      <c r="G16" s="1322">
        <v>32029990.95</v>
      </c>
      <c r="H16" s="1322"/>
      <c r="I16" s="1322"/>
      <c r="J16" s="32">
        <f t="shared" si="1"/>
        <v>46.36274527571019</v>
      </c>
      <c r="K16" s="34">
        <f>C16-G16</f>
        <v>37055631.05</v>
      </c>
      <c r="L16" s="35"/>
      <c r="M16" s="36"/>
      <c r="N16" s="36"/>
      <c r="O16" s="36"/>
    </row>
    <row r="17" spans="1:15" s="37" customFormat="1" ht="18.75" customHeight="1">
      <c r="A17" s="38" t="s">
        <v>26</v>
      </c>
      <c r="B17" s="32">
        <v>56862335</v>
      </c>
      <c r="C17" s="32">
        <f>B17</f>
        <v>56862335</v>
      </c>
      <c r="D17" s="1320">
        <f>G17-'[21]Anexo I_BAL ORC'!G17</f>
        <v>9715924.14</v>
      </c>
      <c r="E17" s="1321"/>
      <c r="F17" s="33">
        <f t="shared" si="0"/>
        <v>17.086748442532304</v>
      </c>
      <c r="G17" s="1322">
        <v>46321623.13</v>
      </c>
      <c r="H17" s="1322"/>
      <c r="I17" s="1322"/>
      <c r="J17" s="32">
        <f t="shared" si="1"/>
        <v>81.46275232981552</v>
      </c>
      <c r="K17" s="34">
        <f>C17-G17</f>
        <v>10540711.869999997</v>
      </c>
      <c r="L17" s="35"/>
      <c r="M17" s="36"/>
      <c r="N17" s="36"/>
      <c r="O17" s="36"/>
    </row>
    <row r="18" spans="1:15" s="31" customFormat="1" ht="18.75" customHeight="1">
      <c r="A18" s="699" t="s">
        <v>27</v>
      </c>
      <c r="B18" s="26">
        <f>B19+B20+B23+B22+B21</f>
        <v>21783759</v>
      </c>
      <c r="C18" s="26">
        <f>C19+C20+C23+C22+C21</f>
        <v>21783759</v>
      </c>
      <c r="D18" s="1318">
        <f>SUM(D19:D23)</f>
        <v>4194517.780000001</v>
      </c>
      <c r="E18" s="1318"/>
      <c r="F18" s="27">
        <f t="shared" si="0"/>
        <v>19.255252410752437</v>
      </c>
      <c r="G18" s="1319">
        <f>SUM(G19:G23)</f>
        <v>23324531.970000003</v>
      </c>
      <c r="H18" s="1319"/>
      <c r="I18" s="1319"/>
      <c r="J18" s="26">
        <f t="shared" si="1"/>
        <v>107.07303532875112</v>
      </c>
      <c r="K18" s="43">
        <f>SUM(K19:K23)</f>
        <v>-1540772.9700000004</v>
      </c>
      <c r="L18" s="29"/>
      <c r="M18" s="30"/>
      <c r="N18" s="30"/>
      <c r="O18" s="30"/>
    </row>
    <row r="19" spans="1:15" s="37" customFormat="1" ht="18.75" customHeight="1">
      <c r="A19" s="38" t="s">
        <v>28</v>
      </c>
      <c r="B19" s="32">
        <v>308073</v>
      </c>
      <c r="C19" s="32">
        <f>B19</f>
        <v>308073</v>
      </c>
      <c r="D19" s="1320">
        <f>G19-'[21]Anexo I_BAL ORC'!G19</f>
        <v>44600.69</v>
      </c>
      <c r="E19" s="1321"/>
      <c r="F19" s="33">
        <f t="shared" si="0"/>
        <v>14.477312195486135</v>
      </c>
      <c r="G19" s="1322">
        <v>211301.41</v>
      </c>
      <c r="H19" s="1322"/>
      <c r="I19" s="1322"/>
      <c r="J19" s="32">
        <f t="shared" si="1"/>
        <v>68.58809762621198</v>
      </c>
      <c r="K19" s="34">
        <f>C19-G19</f>
        <v>96771.59</v>
      </c>
      <c r="L19" s="35"/>
      <c r="M19" s="36"/>
      <c r="N19" s="36"/>
      <c r="O19" s="36"/>
    </row>
    <row r="20" spans="1:15" s="37" customFormat="1" ht="18.75" customHeight="1">
      <c r="A20" s="38" t="s">
        <v>29</v>
      </c>
      <c r="B20" s="32">
        <v>21406119</v>
      </c>
      <c r="C20" s="32">
        <f>B20</f>
        <v>21406119</v>
      </c>
      <c r="D20" s="1320">
        <f>G20-'[21]Anexo I_BAL ORC'!G20</f>
        <v>4130950.280000001</v>
      </c>
      <c r="E20" s="1321"/>
      <c r="F20" s="33">
        <f t="shared" si="0"/>
        <v>19.297988019220117</v>
      </c>
      <c r="G20" s="1322">
        <v>23039409.14</v>
      </c>
      <c r="H20" s="1322"/>
      <c r="I20" s="1322"/>
      <c r="J20" s="32">
        <f t="shared" si="1"/>
        <v>107.63001523069175</v>
      </c>
      <c r="K20" s="34">
        <f>C20-G20</f>
        <v>-1633290.1400000006</v>
      </c>
      <c r="L20" s="467"/>
      <c r="M20" s="36"/>
      <c r="N20" s="36"/>
      <c r="O20" s="36"/>
    </row>
    <row r="21" spans="1:15" s="37" customFormat="1" ht="18.75" customHeight="1">
      <c r="A21" s="38" t="s">
        <v>30</v>
      </c>
      <c r="B21" s="32">
        <v>0</v>
      </c>
      <c r="C21" s="32">
        <f>B21</f>
        <v>0</v>
      </c>
      <c r="D21" s="1320">
        <f>G21-'[21]Anexo I_BAL ORC'!G21</f>
        <v>0</v>
      </c>
      <c r="E21" s="1321"/>
      <c r="F21" s="33"/>
      <c r="G21" s="1322">
        <v>0</v>
      </c>
      <c r="H21" s="1322"/>
      <c r="I21" s="1322"/>
      <c r="J21" s="32">
        <v>0</v>
      </c>
      <c r="K21" s="34">
        <f aca="true" t="shared" si="2" ref="K21:K31">C21-G21</f>
        <v>0</v>
      </c>
      <c r="L21" s="35"/>
      <c r="M21" s="36"/>
      <c r="N21" s="36"/>
      <c r="O21" s="36"/>
    </row>
    <row r="22" spans="1:15" s="37" customFormat="1" ht="18.75" customHeight="1">
      <c r="A22" s="38" t="s">
        <v>31</v>
      </c>
      <c r="B22" s="39">
        <v>0</v>
      </c>
      <c r="C22" s="39">
        <v>0</v>
      </c>
      <c r="D22" s="1320">
        <f>G22-'[21]Anexo I_BAL ORC'!G22</f>
        <v>0</v>
      </c>
      <c r="E22" s="1321"/>
      <c r="F22" s="33"/>
      <c r="G22" s="1322">
        <v>0</v>
      </c>
      <c r="H22" s="1322"/>
      <c r="I22" s="1322"/>
      <c r="J22" s="32">
        <v>0</v>
      </c>
      <c r="K22" s="34">
        <f t="shared" si="2"/>
        <v>0</v>
      </c>
      <c r="L22" s="35"/>
      <c r="M22" s="36"/>
      <c r="N22" s="36"/>
      <c r="O22" s="36"/>
    </row>
    <row r="23" spans="1:15" s="37" customFormat="1" ht="18.75" customHeight="1">
      <c r="A23" s="38" t="s">
        <v>32</v>
      </c>
      <c r="B23" s="39">
        <v>69567</v>
      </c>
      <c r="C23" s="32">
        <f>B23</f>
        <v>69567</v>
      </c>
      <c r="D23" s="1320">
        <f>G23-'[21]Anexo I_BAL ORC'!G23</f>
        <v>18966.809999999998</v>
      </c>
      <c r="E23" s="1321"/>
      <c r="F23" s="33">
        <f aca="true" t="shared" si="3" ref="F23:F31">D23/C23*100</f>
        <v>27.264090732674973</v>
      </c>
      <c r="G23" s="1322">
        <v>73821.42</v>
      </c>
      <c r="H23" s="1322"/>
      <c r="I23" s="1322"/>
      <c r="J23" s="32">
        <f aca="true" t="shared" si="4" ref="J23:J31">G23/C23*100</f>
        <v>106.11557203846651</v>
      </c>
      <c r="K23" s="34">
        <f t="shared" si="2"/>
        <v>-4254.419999999998</v>
      </c>
      <c r="L23" s="679"/>
      <c r="M23" s="36"/>
      <c r="N23" s="36"/>
      <c r="O23" s="36"/>
    </row>
    <row r="24" spans="1:15" s="31" customFormat="1" ht="18.75" customHeight="1">
      <c r="A24" s="699" t="s">
        <v>33</v>
      </c>
      <c r="B24" s="26">
        <f>B25</f>
        <v>227179</v>
      </c>
      <c r="C24" s="26">
        <f>C25</f>
        <v>227179</v>
      </c>
      <c r="D24" s="1320">
        <f>G24-'[21]Anexo I_BAL ORC'!G24</f>
        <v>10233.209999999992</v>
      </c>
      <c r="E24" s="1321"/>
      <c r="F24" s="27">
        <f t="shared" si="3"/>
        <v>4.504470043445914</v>
      </c>
      <c r="G24" s="1319">
        <f>G25</f>
        <v>142177</v>
      </c>
      <c r="H24" s="1319"/>
      <c r="I24" s="1319"/>
      <c r="J24" s="26">
        <f t="shared" si="4"/>
        <v>62.583689513555385</v>
      </c>
      <c r="K24" s="43">
        <f>K25</f>
        <v>85002</v>
      </c>
      <c r="L24" s="29"/>
      <c r="M24" s="30"/>
      <c r="N24" s="30"/>
      <c r="O24" s="30"/>
    </row>
    <row r="25" spans="1:15" s="37" customFormat="1" ht="18.75" customHeight="1">
      <c r="A25" s="38" t="s">
        <v>34</v>
      </c>
      <c r="B25" s="32">
        <v>227179</v>
      </c>
      <c r="C25" s="32">
        <f>B25</f>
        <v>227179</v>
      </c>
      <c r="D25" s="1320">
        <f>G25-'[21]Anexo I_BAL ORC'!G25</f>
        <v>10233.209999999992</v>
      </c>
      <c r="E25" s="1321"/>
      <c r="F25" s="33">
        <f t="shared" si="3"/>
        <v>4.504470043445914</v>
      </c>
      <c r="G25" s="1322">
        <v>142177</v>
      </c>
      <c r="H25" s="1322"/>
      <c r="I25" s="1322"/>
      <c r="J25" s="1245" t="s">
        <v>782</v>
      </c>
      <c r="K25" s="34">
        <f t="shared" si="2"/>
        <v>85002</v>
      </c>
      <c r="L25" s="35"/>
      <c r="M25" s="36"/>
      <c r="N25" s="36"/>
      <c r="O25" s="36"/>
    </row>
    <row r="26" spans="1:15" s="31" customFormat="1" ht="18.75" customHeight="1">
      <c r="A26" s="699" t="s">
        <v>35</v>
      </c>
      <c r="B26" s="26">
        <f>B27+B28+B29</f>
        <v>1437852023</v>
      </c>
      <c r="C26" s="26">
        <f>C27+C28+C29</f>
        <v>1452895458.4899998</v>
      </c>
      <c r="D26" s="1318">
        <f>D27+D28+D29</f>
        <v>174326268.03000003</v>
      </c>
      <c r="E26" s="1318"/>
      <c r="F26" s="27">
        <f t="shared" si="3"/>
        <v>11.998541740310625</v>
      </c>
      <c r="G26" s="1319">
        <f>SUM(G27:G29)</f>
        <v>928855103.44</v>
      </c>
      <c r="H26" s="1319"/>
      <c r="I26" s="1319"/>
      <c r="J26" s="26">
        <f t="shared" si="4"/>
        <v>63.931310268211796</v>
      </c>
      <c r="K26" s="43">
        <f>SUM(K27:K29)</f>
        <v>524040355.04999983</v>
      </c>
      <c r="L26" s="825"/>
      <c r="M26" s="848"/>
      <c r="N26" s="30"/>
      <c r="O26" s="30"/>
    </row>
    <row r="27" spans="1:15" s="37" customFormat="1" ht="18.75" customHeight="1">
      <c r="A27" s="38" t="s">
        <v>36</v>
      </c>
      <c r="B27" s="32">
        <f>1639647522-215802658</f>
        <v>1423844864</v>
      </c>
      <c r="C27" s="32">
        <f>1652674626.87-215802658</f>
        <v>1436871968.87</v>
      </c>
      <c r="D27" s="1320">
        <f>G27-'[21]Anexo I_BAL ORC'!G27</f>
        <v>173537472.23000002</v>
      </c>
      <c r="E27" s="1321"/>
      <c r="F27" s="33">
        <f t="shared" si="3"/>
        <v>12.077448512442984</v>
      </c>
      <c r="G27" s="1322">
        <f>1050951513.12-129369617.48+1250800.23+7285.32</f>
        <v>922839981.19</v>
      </c>
      <c r="H27" s="1322"/>
      <c r="I27" s="1322"/>
      <c r="J27" s="32">
        <f t="shared" si="4"/>
        <v>64.22562351994031</v>
      </c>
      <c r="K27" s="34">
        <f t="shared" si="2"/>
        <v>514031987.6799998</v>
      </c>
      <c r="L27" s="41"/>
      <c r="M27" s="33"/>
      <c r="N27" s="36"/>
      <c r="O27" s="36"/>
    </row>
    <row r="28" spans="1:15" s="37" customFormat="1" ht="18.75" customHeight="1">
      <c r="A28" s="38" t="s">
        <v>37</v>
      </c>
      <c r="B28" s="32">
        <v>1022311</v>
      </c>
      <c r="C28" s="32">
        <v>1233311</v>
      </c>
      <c r="D28" s="1320">
        <f>G28-'[21]Anexo I_BAL ORC'!G28</f>
        <v>0</v>
      </c>
      <c r="E28" s="1321"/>
      <c r="F28" s="33">
        <f t="shared" si="3"/>
        <v>0</v>
      </c>
      <c r="G28" s="1322">
        <v>20000</v>
      </c>
      <c r="H28" s="1322"/>
      <c r="I28" s="1322"/>
      <c r="J28" s="32">
        <f t="shared" si="4"/>
        <v>1.6216509866530016</v>
      </c>
      <c r="K28" s="34">
        <f t="shared" si="2"/>
        <v>1213311</v>
      </c>
      <c r="L28" s="41"/>
      <c r="M28" s="819"/>
      <c r="N28" s="36"/>
      <c r="O28" s="36"/>
    </row>
    <row r="29" spans="1:15" s="37" customFormat="1" ht="18.75" customHeight="1">
      <c r="A29" s="38" t="s">
        <v>38</v>
      </c>
      <c r="B29" s="32">
        <v>12984848</v>
      </c>
      <c r="C29" s="32">
        <v>14790178.62</v>
      </c>
      <c r="D29" s="1320">
        <f>G29-'[21]Anexo I_BAL ORC'!G29</f>
        <v>788795.7999999998</v>
      </c>
      <c r="E29" s="1321"/>
      <c r="F29" s="33">
        <f t="shared" si="3"/>
        <v>5.333240525799679</v>
      </c>
      <c r="G29" s="1322">
        <v>5995122.25</v>
      </c>
      <c r="H29" s="1322"/>
      <c r="I29" s="1322"/>
      <c r="J29" s="32">
        <f t="shared" si="4"/>
        <v>40.53448172622543</v>
      </c>
      <c r="K29" s="34">
        <f t="shared" si="2"/>
        <v>8795056.37</v>
      </c>
      <c r="L29" s="41"/>
      <c r="M29" s="819"/>
      <c r="N29" s="36"/>
      <c r="O29" s="36"/>
    </row>
    <row r="30" spans="1:15" s="31" customFormat="1" ht="18.75" customHeight="1">
      <c r="A30" s="699" t="s">
        <v>39</v>
      </c>
      <c r="B30" s="26">
        <f>B31+B32+B33+B34</f>
        <v>54772887</v>
      </c>
      <c r="C30" s="26">
        <f>C31+C32+C33+C34</f>
        <v>55087637</v>
      </c>
      <c r="D30" s="1323">
        <f>D31+D32+D33+D34</f>
        <v>6118793.069999998</v>
      </c>
      <c r="E30" s="1324"/>
      <c r="F30" s="27">
        <f t="shared" si="3"/>
        <v>11.10737981010149</v>
      </c>
      <c r="G30" s="1319">
        <f>G31+G32+G33+G34</f>
        <v>38309769.39</v>
      </c>
      <c r="H30" s="1319"/>
      <c r="I30" s="1319"/>
      <c r="J30" s="26">
        <f t="shared" si="4"/>
        <v>69.54331584417027</v>
      </c>
      <c r="K30" s="43">
        <f>K31+K32+K33+K34</f>
        <v>16777867.61</v>
      </c>
      <c r="L30" s="826"/>
      <c r="M30" s="827"/>
      <c r="N30" s="462"/>
      <c r="O30" s="462"/>
    </row>
    <row r="31" spans="1:15" s="37" customFormat="1" ht="18.75" customHeight="1">
      <c r="A31" s="38" t="s">
        <v>40</v>
      </c>
      <c r="B31" s="32">
        <v>21596420</v>
      </c>
      <c r="C31" s="32">
        <f>B31</f>
        <v>21596420</v>
      </c>
      <c r="D31" s="1320">
        <f>G31-'[21]Anexo I_BAL ORC'!G31</f>
        <v>2832119.49</v>
      </c>
      <c r="E31" s="1321"/>
      <c r="F31" s="33">
        <f t="shared" si="3"/>
        <v>13.11383780274694</v>
      </c>
      <c r="G31" s="1322">
        <v>16452323.83</v>
      </c>
      <c r="H31" s="1322"/>
      <c r="I31" s="1322"/>
      <c r="J31" s="32">
        <f t="shared" si="4"/>
        <v>76.18079214054923</v>
      </c>
      <c r="K31" s="34">
        <f t="shared" si="2"/>
        <v>5144096.17</v>
      </c>
      <c r="L31" s="459"/>
      <c r="M31" s="91">
        <f>M27</f>
        <v>0</v>
      </c>
      <c r="N31" s="36"/>
      <c r="O31" s="36"/>
    </row>
    <row r="32" spans="1:15" s="37" customFormat="1" ht="18.75" customHeight="1">
      <c r="A32" s="38" t="s">
        <v>41</v>
      </c>
      <c r="B32" s="32">
        <v>201443</v>
      </c>
      <c r="C32" s="32">
        <f>B32</f>
        <v>201443</v>
      </c>
      <c r="D32" s="1320">
        <f>G32-'[21]Anexo I_BAL ORC'!G32</f>
        <v>37295.42000000004</v>
      </c>
      <c r="E32" s="1321"/>
      <c r="F32" s="33">
        <v>0</v>
      </c>
      <c r="G32" s="1322">
        <v>266405.03</v>
      </c>
      <c r="H32" s="1322"/>
      <c r="I32" s="1322"/>
      <c r="J32" s="32">
        <v>0</v>
      </c>
      <c r="K32" s="34">
        <f>C32-G32</f>
        <v>-64962.03000000003</v>
      </c>
      <c r="L32" s="467"/>
      <c r="M32" s="36"/>
      <c r="N32" s="36"/>
      <c r="O32" s="36"/>
    </row>
    <row r="33" spans="1:15" s="37" customFormat="1" ht="18.75" customHeight="1">
      <c r="A33" s="38" t="s">
        <v>42</v>
      </c>
      <c r="B33" s="32">
        <v>20547220</v>
      </c>
      <c r="C33" s="32">
        <f>B33</f>
        <v>20547220</v>
      </c>
      <c r="D33" s="1320">
        <f>G33-'[21]Anexo I_BAL ORC'!G33</f>
        <v>1313111.4499999993</v>
      </c>
      <c r="E33" s="1321"/>
      <c r="F33" s="33">
        <f aca="true" t="shared" si="5" ref="F33:F45">D33/C33*100</f>
        <v>6.3907012724835734</v>
      </c>
      <c r="G33" s="1322">
        <v>10915248.43</v>
      </c>
      <c r="H33" s="1322"/>
      <c r="I33" s="1322"/>
      <c r="J33" s="32">
        <f>G33/C33*100</f>
        <v>53.122750571610176</v>
      </c>
      <c r="K33" s="34">
        <f>C33-G33</f>
        <v>9631971.57</v>
      </c>
      <c r="L33" s="467"/>
      <c r="M33" s="36"/>
      <c r="N33" s="36"/>
      <c r="O33" s="36"/>
    </row>
    <row r="34" spans="1:15" s="37" customFormat="1" ht="18.75" customHeight="1">
      <c r="A34" s="38" t="s">
        <v>43</v>
      </c>
      <c r="B34" s="32">
        <v>12427804</v>
      </c>
      <c r="C34" s="32">
        <v>12742554</v>
      </c>
      <c r="D34" s="1320">
        <f>G34-'[21]Anexo I_BAL ORC'!G34</f>
        <v>1936266.709999999</v>
      </c>
      <c r="E34" s="1321"/>
      <c r="F34" s="33">
        <f t="shared" si="5"/>
        <v>15.195279611920807</v>
      </c>
      <c r="G34" s="1322">
        <v>10675792.1</v>
      </c>
      <c r="H34" s="1322"/>
      <c r="I34" s="1322"/>
      <c r="J34" s="32">
        <f>G34/C34*100</f>
        <v>83.78063063338793</v>
      </c>
      <c r="K34" s="34">
        <f>C34-G34</f>
        <v>2066761.9000000004</v>
      </c>
      <c r="L34" s="460"/>
      <c r="M34" s="461"/>
      <c r="N34" s="461"/>
      <c r="O34" s="461"/>
    </row>
    <row r="35" spans="1:15" s="31" customFormat="1" ht="18.75" customHeight="1">
      <c r="A35" s="25" t="s">
        <v>44</v>
      </c>
      <c r="B35" s="26">
        <f>B36+B39+B42+B46</f>
        <v>246170786</v>
      </c>
      <c r="C35" s="42">
        <f>C36+C39+C42+C46</f>
        <v>246170786</v>
      </c>
      <c r="D35" s="1318">
        <f>D36+D39+D42+D46</f>
        <v>2492932.119999999</v>
      </c>
      <c r="E35" s="1318"/>
      <c r="F35" s="27">
        <f t="shared" si="5"/>
        <v>1.0126839827370901</v>
      </c>
      <c r="G35" s="1319">
        <f>G36+G39+G42</f>
        <v>27456375.04</v>
      </c>
      <c r="H35" s="1319"/>
      <c r="I35" s="1319"/>
      <c r="J35" s="26">
        <f>G35/C35*100</f>
        <v>11.153384804970317</v>
      </c>
      <c r="K35" s="42">
        <f>K36+K39+K42+K46</f>
        <v>218714410.95999998</v>
      </c>
      <c r="L35" s="458"/>
      <c r="M35" s="30"/>
      <c r="N35" s="30"/>
      <c r="O35" s="30"/>
    </row>
    <row r="36" spans="1:15" s="31" customFormat="1" ht="18.75" customHeight="1">
      <c r="A36" s="699" t="s">
        <v>45</v>
      </c>
      <c r="B36" s="26">
        <f>B37+B38</f>
        <v>141754909</v>
      </c>
      <c r="C36" s="26">
        <f>C37+C38</f>
        <v>141754909</v>
      </c>
      <c r="D36" s="1325">
        <f>D37+D38</f>
        <v>2492551.619999999</v>
      </c>
      <c r="E36" s="1326"/>
      <c r="F36" s="27">
        <f t="shared" si="5"/>
        <v>1.7583529470573744</v>
      </c>
      <c r="G36" s="1319">
        <f>G37+G38</f>
        <v>26949507.47</v>
      </c>
      <c r="H36" s="1319"/>
      <c r="I36" s="1319"/>
      <c r="J36" s="26">
        <f>G36/C36*100</f>
        <v>19.01133982598091</v>
      </c>
      <c r="K36" s="43">
        <f>K37+K38</f>
        <v>114805401.53</v>
      </c>
      <c r="L36" s="29"/>
      <c r="M36" s="30"/>
      <c r="N36" s="30"/>
      <c r="O36" s="30"/>
    </row>
    <row r="37" spans="1:15" s="37" customFormat="1" ht="18.75" customHeight="1">
      <c r="A37" s="38" t="s">
        <v>46</v>
      </c>
      <c r="B37" s="32">
        <v>90646599</v>
      </c>
      <c r="C37" s="32">
        <f>B37</f>
        <v>90646599</v>
      </c>
      <c r="D37" s="1320">
        <f>G37-'[21]Anexo I_BAL ORC'!G37</f>
        <v>0</v>
      </c>
      <c r="E37" s="1321"/>
      <c r="F37" s="33">
        <f t="shared" si="5"/>
        <v>0</v>
      </c>
      <c r="G37" s="1322">
        <v>15304980.45</v>
      </c>
      <c r="H37" s="1322"/>
      <c r="I37" s="1322"/>
      <c r="J37" s="32"/>
      <c r="K37" s="34">
        <f>C37-G37</f>
        <v>75341618.55</v>
      </c>
      <c r="L37" s="35"/>
      <c r="M37" s="36"/>
      <c r="N37" s="36"/>
      <c r="O37" s="36"/>
    </row>
    <row r="38" spans="1:15" s="37" customFormat="1" ht="18.75" customHeight="1">
      <c r="A38" s="38" t="s">
        <v>47</v>
      </c>
      <c r="B38" s="32">
        <v>51108310</v>
      </c>
      <c r="C38" s="32">
        <f>B38</f>
        <v>51108310</v>
      </c>
      <c r="D38" s="1320">
        <f>G38-'[21]Anexo I_BAL ORC'!G38</f>
        <v>2492551.619999999</v>
      </c>
      <c r="E38" s="1321"/>
      <c r="F38" s="33">
        <f t="shared" si="5"/>
        <v>4.876998711168495</v>
      </c>
      <c r="G38" s="1322">
        <v>11644527.02</v>
      </c>
      <c r="H38" s="1322"/>
      <c r="I38" s="1322"/>
      <c r="J38" s="32">
        <f>G38/C38*100</f>
        <v>22.784018919819495</v>
      </c>
      <c r="K38" s="34">
        <f>C38-G38</f>
        <v>39463782.980000004</v>
      </c>
      <c r="L38" s="35"/>
      <c r="M38" s="36"/>
      <c r="N38" s="36"/>
      <c r="O38" s="36"/>
    </row>
    <row r="39" spans="1:15" s="31" customFormat="1" ht="18.75" customHeight="1">
      <c r="A39" s="699" t="s">
        <v>48</v>
      </c>
      <c r="B39" s="816">
        <f>B40+B41</f>
        <v>6427</v>
      </c>
      <c r="C39" s="42">
        <f>C40+C41</f>
        <v>6427</v>
      </c>
      <c r="D39" s="1325">
        <f>D40+D41</f>
        <v>380.5</v>
      </c>
      <c r="E39" s="1326"/>
      <c r="F39" s="27">
        <f t="shared" si="5"/>
        <v>5.920336082153415</v>
      </c>
      <c r="G39" s="1319">
        <f>G40+G41</f>
        <v>82575.14</v>
      </c>
      <c r="H39" s="1319"/>
      <c r="I39" s="1319"/>
      <c r="J39" s="26">
        <f>G39/C39*100</f>
        <v>1284.8162439707482</v>
      </c>
      <c r="K39" s="43">
        <f>K40+K41</f>
        <v>-76148.14</v>
      </c>
      <c r="L39" s="29"/>
      <c r="M39" s="30"/>
      <c r="N39" s="30"/>
      <c r="O39" s="30"/>
    </row>
    <row r="40" spans="1:15" s="37" customFormat="1" ht="18.75" customHeight="1">
      <c r="A40" s="38" t="s">
        <v>49</v>
      </c>
      <c r="B40" s="39">
        <v>0</v>
      </c>
      <c r="C40" s="39">
        <v>0</v>
      </c>
      <c r="D40" s="1320">
        <f>G40-'[21]Anexo I_BAL ORC'!G40</f>
        <v>0</v>
      </c>
      <c r="E40" s="1321"/>
      <c r="F40" s="33">
        <v>0</v>
      </c>
      <c r="G40" s="1322">
        <v>0</v>
      </c>
      <c r="H40" s="1322"/>
      <c r="I40" s="1322"/>
      <c r="J40" s="32">
        <v>0</v>
      </c>
      <c r="K40" s="34">
        <f aca="true" t="shared" si="6" ref="K40:K47">C40-G40</f>
        <v>0</v>
      </c>
      <c r="L40" s="35"/>
      <c r="M40" s="36"/>
      <c r="N40" s="36"/>
      <c r="O40" s="36"/>
    </row>
    <row r="41" spans="1:15" s="37" customFormat="1" ht="18.75" customHeight="1">
      <c r="A41" s="38" t="s">
        <v>50</v>
      </c>
      <c r="B41" s="39">
        <v>6427</v>
      </c>
      <c r="C41" s="39">
        <f>B41</f>
        <v>6427</v>
      </c>
      <c r="D41" s="1320">
        <f>G41-'[21]Anexo I_BAL ORC'!G41</f>
        <v>380.5</v>
      </c>
      <c r="E41" s="1321"/>
      <c r="F41" s="33">
        <f t="shared" si="5"/>
        <v>5.920336082153415</v>
      </c>
      <c r="G41" s="1322">
        <v>82575.14</v>
      </c>
      <c r="H41" s="1322"/>
      <c r="I41" s="1322"/>
      <c r="J41" s="32">
        <f>G41/C41*100</f>
        <v>1284.8162439707482</v>
      </c>
      <c r="K41" s="34">
        <f t="shared" si="6"/>
        <v>-76148.14</v>
      </c>
      <c r="L41" s="35"/>
      <c r="M41" s="36"/>
      <c r="N41" s="36"/>
      <c r="O41" s="36"/>
    </row>
    <row r="42" spans="1:15" s="31" customFormat="1" ht="18.75" customHeight="1">
      <c r="A42" s="699" t="s">
        <v>51</v>
      </c>
      <c r="B42" s="42">
        <f>B43+B44+B45</f>
        <v>104409450</v>
      </c>
      <c r="C42" s="816">
        <f>C43+C44+C45</f>
        <v>104409450</v>
      </c>
      <c r="D42" s="1318">
        <f>D43+D44+D45</f>
        <v>0</v>
      </c>
      <c r="E42" s="1318"/>
      <c r="F42" s="27"/>
      <c r="G42" s="1319">
        <f>G43+G44+G45</f>
        <v>424292.43</v>
      </c>
      <c r="H42" s="1319"/>
      <c r="I42" s="1319"/>
      <c r="J42" s="26">
        <f>G42/C42*100</f>
        <v>0.40637358974690513</v>
      </c>
      <c r="K42" s="828">
        <f>SUM(K43:K45)</f>
        <v>103985157.57</v>
      </c>
      <c r="L42" s="29"/>
      <c r="M42" s="30"/>
      <c r="N42" s="30"/>
      <c r="O42" s="30"/>
    </row>
    <row r="43" spans="1:15" s="37" customFormat="1" ht="18.75" customHeight="1">
      <c r="A43" s="38" t="s">
        <v>36</v>
      </c>
      <c r="B43" s="39">
        <v>0</v>
      </c>
      <c r="C43" s="39">
        <v>0</v>
      </c>
      <c r="D43" s="1320">
        <f>G43-'[21]Anexo I_BAL ORC'!G43</f>
        <v>0</v>
      </c>
      <c r="E43" s="1321"/>
      <c r="F43" s="33">
        <v>0</v>
      </c>
      <c r="G43" s="1322">
        <v>0</v>
      </c>
      <c r="H43" s="1322"/>
      <c r="I43" s="1322"/>
      <c r="J43" s="32">
        <v>0</v>
      </c>
      <c r="K43" s="34">
        <f t="shared" si="6"/>
        <v>0</v>
      </c>
      <c r="L43" s="35"/>
      <c r="M43" s="36"/>
      <c r="N43" s="36"/>
      <c r="O43" s="36"/>
    </row>
    <row r="44" spans="1:15" s="37" customFormat="1" ht="18.75" customHeight="1">
      <c r="A44" s="38" t="s">
        <v>52</v>
      </c>
      <c r="B44" s="39">
        <v>478000</v>
      </c>
      <c r="C44" s="32">
        <f>B44</f>
        <v>478000</v>
      </c>
      <c r="D44" s="1320">
        <f>G44-'[21]Anexo I_BAL ORC'!G44</f>
        <v>0</v>
      </c>
      <c r="E44" s="1321"/>
      <c r="F44" s="33">
        <f t="shared" si="5"/>
        <v>0</v>
      </c>
      <c r="G44" s="1322">
        <v>0</v>
      </c>
      <c r="H44" s="1322"/>
      <c r="I44" s="1322"/>
      <c r="J44" s="32">
        <f>G44/C44*100</f>
        <v>0</v>
      </c>
      <c r="K44" s="34">
        <f t="shared" si="6"/>
        <v>478000</v>
      </c>
      <c r="L44" s="35"/>
      <c r="M44" s="36"/>
      <c r="N44" s="36"/>
      <c r="O44" s="36"/>
    </row>
    <row r="45" spans="1:15" s="37" customFormat="1" ht="18.75" customHeight="1">
      <c r="A45" s="38" t="s">
        <v>38</v>
      </c>
      <c r="B45" s="39">
        <v>103931450</v>
      </c>
      <c r="C45" s="32">
        <f>B45</f>
        <v>103931450</v>
      </c>
      <c r="D45" s="1320">
        <f>G45-'[21]Anexo I_BAL ORC'!G45</f>
        <v>0</v>
      </c>
      <c r="E45" s="1321"/>
      <c r="F45" s="33">
        <f t="shared" si="5"/>
        <v>0</v>
      </c>
      <c r="G45" s="1322">
        <v>424292.43</v>
      </c>
      <c r="H45" s="1322"/>
      <c r="I45" s="1322"/>
      <c r="J45" s="32">
        <f>G45/C45*100</f>
        <v>0.4082425771987209</v>
      </c>
      <c r="K45" s="34">
        <f t="shared" si="6"/>
        <v>103507157.57</v>
      </c>
      <c r="L45" s="35"/>
      <c r="M45" s="36"/>
      <c r="N45" s="36"/>
      <c r="O45" s="36"/>
    </row>
    <row r="46" spans="1:15" s="31" customFormat="1" ht="18.75" customHeight="1">
      <c r="A46" s="699" t="s">
        <v>53</v>
      </c>
      <c r="B46" s="42">
        <f>B47</f>
        <v>0</v>
      </c>
      <c r="C46" s="42">
        <f>C47</f>
        <v>0</v>
      </c>
      <c r="D46" s="1320">
        <f>D47</f>
        <v>0</v>
      </c>
      <c r="E46" s="1321"/>
      <c r="F46" s="27">
        <v>0</v>
      </c>
      <c r="G46" s="1319">
        <f>G47</f>
        <v>0</v>
      </c>
      <c r="H46" s="1319"/>
      <c r="I46" s="1319"/>
      <c r="J46" s="26">
        <v>0</v>
      </c>
      <c r="K46" s="43">
        <f>K47</f>
        <v>0</v>
      </c>
      <c r="L46" s="29"/>
      <c r="M46" s="30"/>
      <c r="N46" s="30"/>
      <c r="O46" s="30"/>
    </row>
    <row r="47" spans="1:18" s="37" customFormat="1" ht="18.75" customHeight="1">
      <c r="A47" s="38" t="s">
        <v>54</v>
      </c>
      <c r="B47" s="39">
        <v>0</v>
      </c>
      <c r="C47" s="39">
        <v>0</v>
      </c>
      <c r="D47" s="1320">
        <f>G47-'[21]Anexo I_BAL ORC'!G47</f>
        <v>0</v>
      </c>
      <c r="E47" s="1321"/>
      <c r="F47" s="33">
        <v>0</v>
      </c>
      <c r="G47" s="1322">
        <v>0</v>
      </c>
      <c r="H47" s="1322"/>
      <c r="I47" s="1322"/>
      <c r="J47" s="32">
        <v>0</v>
      </c>
      <c r="K47" s="34">
        <f t="shared" si="6"/>
        <v>0</v>
      </c>
      <c r="L47" s="35"/>
      <c r="M47" s="36"/>
      <c r="N47" s="36"/>
      <c r="O47" s="36"/>
      <c r="R47" s="44"/>
    </row>
    <row r="48" spans="1:15" s="37" customFormat="1" ht="18.75" customHeight="1">
      <c r="A48" s="25" t="s">
        <v>55</v>
      </c>
      <c r="B48" s="26">
        <v>69085622</v>
      </c>
      <c r="C48" s="26">
        <f>B48</f>
        <v>69085622</v>
      </c>
      <c r="D48" s="1320">
        <f>G48-'[21]Anexo I_BAL ORC'!G48</f>
        <v>137030.69000000507</v>
      </c>
      <c r="E48" s="1321"/>
      <c r="F48" s="27">
        <f>D48/C48*100</f>
        <v>0.1983490718227956</v>
      </c>
      <c r="G48" s="1327">
        <f>39267061.13-1250800.23-7285.32</f>
        <v>38008975.580000006</v>
      </c>
      <c r="H48" s="1328"/>
      <c r="I48" s="1329"/>
      <c r="J48" s="26">
        <f>G48/C48*100</f>
        <v>55.017201089974996</v>
      </c>
      <c r="K48" s="43">
        <f>C48-G48</f>
        <v>31076646.419999994</v>
      </c>
      <c r="L48" s="35"/>
      <c r="M48" s="36"/>
      <c r="N48" s="36"/>
      <c r="O48" s="36"/>
    </row>
    <row r="49" spans="1:15" s="31" customFormat="1" ht="18.75" customHeight="1">
      <c r="A49" s="45" t="s">
        <v>56</v>
      </c>
      <c r="B49" s="23">
        <f>B9+B48</f>
        <v>2645637328</v>
      </c>
      <c r="C49" s="23">
        <f>C9+C48</f>
        <v>2661030913.49</v>
      </c>
      <c r="D49" s="1330">
        <f>D10+D35+D48</f>
        <v>275254959.45</v>
      </c>
      <c r="E49" s="1330"/>
      <c r="F49" s="23">
        <f>D49/C49*100</f>
        <v>10.343921900892054</v>
      </c>
      <c r="G49" s="1331">
        <f>G10+G35+G48</f>
        <v>1551256383.89</v>
      </c>
      <c r="H49" s="1331"/>
      <c r="I49" s="1331"/>
      <c r="J49" s="23">
        <f>G49/C49*100</f>
        <v>58.29531615081817</v>
      </c>
      <c r="K49" s="24">
        <f>K9+K48</f>
        <v>1109774529.6</v>
      </c>
      <c r="L49" s="47"/>
      <c r="M49" s="27"/>
      <c r="N49" s="462"/>
      <c r="O49" s="462"/>
    </row>
    <row r="50" spans="1:15" s="31" customFormat="1" ht="18.75" customHeight="1">
      <c r="A50" s="48" t="s">
        <v>707</v>
      </c>
      <c r="B50" s="49">
        <f>B51+B54</f>
        <v>0</v>
      </c>
      <c r="C50" s="49">
        <f>C51+C54</f>
        <v>0</v>
      </c>
      <c r="D50" s="1332">
        <f>SUM(D51+D54)</f>
        <v>0</v>
      </c>
      <c r="E50" s="1333"/>
      <c r="F50" s="817">
        <v>0</v>
      </c>
      <c r="G50" s="1319"/>
      <c r="H50" s="1319"/>
      <c r="I50" s="1319"/>
      <c r="J50" s="32">
        <v>0</v>
      </c>
      <c r="K50" s="49">
        <f>K51+K54</f>
        <v>0</v>
      </c>
      <c r="L50" s="29"/>
      <c r="M50" s="30"/>
      <c r="N50" s="30"/>
      <c r="O50" s="30"/>
    </row>
    <row r="51" spans="1:15" s="31" customFormat="1" ht="18.75" customHeight="1">
      <c r="A51" s="51" t="s">
        <v>46</v>
      </c>
      <c r="B51" s="52">
        <f>SUM(B52:B53)</f>
        <v>0</v>
      </c>
      <c r="C51" s="52">
        <f>SUM(C52:C53)</f>
        <v>0</v>
      </c>
      <c r="D51" s="1325">
        <f>SUM(D52+D53)</f>
        <v>0</v>
      </c>
      <c r="E51" s="1326"/>
      <c r="F51" s="42">
        <v>0</v>
      </c>
      <c r="G51" s="1319">
        <f>SUM(H52:H53)</f>
        <v>0</v>
      </c>
      <c r="H51" s="1319"/>
      <c r="I51" s="1319"/>
      <c r="J51" s="32">
        <v>0</v>
      </c>
      <c r="K51" s="52">
        <f>SUM(K52:K53)</f>
        <v>0</v>
      </c>
      <c r="L51" s="29"/>
      <c r="M51" s="30"/>
      <c r="N51" s="30"/>
      <c r="O51" s="30"/>
    </row>
    <row r="52" spans="1:15" s="37" customFormat="1" ht="18.75" customHeight="1">
      <c r="A52" s="54" t="s">
        <v>57</v>
      </c>
      <c r="B52" s="55">
        <v>0</v>
      </c>
      <c r="C52" s="55">
        <v>0</v>
      </c>
      <c r="D52" s="1320">
        <f>G52-'[21]Anexo I_BAL ORC'!G52</f>
        <v>0</v>
      </c>
      <c r="E52" s="1321"/>
      <c r="F52" s="32">
        <v>0</v>
      </c>
      <c r="G52" s="1322">
        <v>0</v>
      </c>
      <c r="H52" s="1322"/>
      <c r="I52" s="1322"/>
      <c r="J52" s="32">
        <v>0</v>
      </c>
      <c r="K52" s="34">
        <v>0</v>
      </c>
      <c r="L52" s="35"/>
      <c r="M52" s="36"/>
      <c r="N52" s="36"/>
      <c r="O52" s="36"/>
    </row>
    <row r="53" spans="1:15" s="37" customFormat="1" ht="18.75" customHeight="1">
      <c r="A53" s="54" t="s">
        <v>58</v>
      </c>
      <c r="B53" s="55">
        <v>0</v>
      </c>
      <c r="C53" s="55">
        <v>0</v>
      </c>
      <c r="D53" s="1320">
        <f>G53-'[21]Anexo I_BAL ORC'!G53</f>
        <v>0</v>
      </c>
      <c r="E53" s="1321"/>
      <c r="F53" s="32">
        <v>0</v>
      </c>
      <c r="G53" s="1322">
        <v>0</v>
      </c>
      <c r="H53" s="1322"/>
      <c r="I53" s="1322"/>
      <c r="J53" s="32">
        <v>0</v>
      </c>
      <c r="K53" s="34">
        <v>0</v>
      </c>
      <c r="L53" s="35"/>
      <c r="M53" s="36"/>
      <c r="N53" s="36"/>
      <c r="O53" s="36"/>
    </row>
    <row r="54" spans="1:15" s="37" customFormat="1" ht="18.75" customHeight="1">
      <c r="A54" s="51" t="s">
        <v>47</v>
      </c>
      <c r="B54" s="52">
        <f>SUM(B55:B56)</f>
        <v>0</v>
      </c>
      <c r="C54" s="52">
        <f>SUM(C55:C56)</f>
        <v>0</v>
      </c>
      <c r="D54" s="1325">
        <f>SUM(D55+D56)</f>
        <v>0</v>
      </c>
      <c r="E54" s="1326"/>
      <c r="F54" s="42">
        <v>0</v>
      </c>
      <c r="G54" s="1319">
        <f>SUM(H55:H56)</f>
        <v>0</v>
      </c>
      <c r="H54" s="1319"/>
      <c r="I54" s="1319"/>
      <c r="J54" s="32">
        <v>0</v>
      </c>
      <c r="K54" s="52">
        <f>SUM(K55:K56)</f>
        <v>0</v>
      </c>
      <c r="L54" s="56"/>
      <c r="M54" s="36"/>
      <c r="N54" s="36"/>
      <c r="O54" s="36"/>
    </row>
    <row r="55" spans="1:15" s="37" customFormat="1" ht="18.75" customHeight="1">
      <c r="A55" s="54" t="s">
        <v>57</v>
      </c>
      <c r="B55" s="55">
        <v>0</v>
      </c>
      <c r="C55" s="55">
        <v>0</v>
      </c>
      <c r="D55" s="1320">
        <f>G55-'[21]Anexo I_BAL ORC'!G55</f>
        <v>0</v>
      </c>
      <c r="E55" s="1321"/>
      <c r="F55" s="32">
        <v>0</v>
      </c>
      <c r="G55" s="1322">
        <v>0</v>
      </c>
      <c r="H55" s="1322"/>
      <c r="I55" s="1322"/>
      <c r="J55" s="32">
        <v>0</v>
      </c>
      <c r="K55" s="34">
        <v>0</v>
      </c>
      <c r="L55" s="56"/>
      <c r="M55" s="36"/>
      <c r="N55" s="36"/>
      <c r="O55" s="36"/>
    </row>
    <row r="56" spans="1:15" s="37" customFormat="1" ht="18.75" customHeight="1">
      <c r="A56" s="54" t="s">
        <v>58</v>
      </c>
      <c r="B56" s="57">
        <v>0</v>
      </c>
      <c r="C56" s="57">
        <v>0</v>
      </c>
      <c r="D56" s="1320">
        <f>G56-'[21]Anexo I_BAL ORC'!G56</f>
        <v>0</v>
      </c>
      <c r="E56" s="1321"/>
      <c r="F56" s="58">
        <v>0</v>
      </c>
      <c r="G56" s="1334"/>
      <c r="H56" s="1334"/>
      <c r="I56" s="1334"/>
      <c r="J56" s="32">
        <v>0</v>
      </c>
      <c r="K56" s="34">
        <v>0</v>
      </c>
      <c r="L56" s="56"/>
      <c r="M56" s="36"/>
      <c r="N56" s="36"/>
      <c r="O56" s="36"/>
    </row>
    <row r="57" spans="1:15" s="31" customFormat="1" ht="18.75" customHeight="1">
      <c r="A57" s="45" t="s">
        <v>59</v>
      </c>
      <c r="B57" s="24">
        <f>B49+B50</f>
        <v>2645637328</v>
      </c>
      <c r="C57" s="24">
        <f>C49+C50</f>
        <v>2661030913.49</v>
      </c>
      <c r="D57" s="1331">
        <f>D49+D50</f>
        <v>275254959.45</v>
      </c>
      <c r="E57" s="1331"/>
      <c r="F57" s="59">
        <f>D57/C57*100</f>
        <v>10.343921900892054</v>
      </c>
      <c r="G57" s="1331">
        <f>G49+G50</f>
        <v>1551256383.89</v>
      </c>
      <c r="H57" s="1331"/>
      <c r="I57" s="1331"/>
      <c r="J57" s="23">
        <f>G57/C57*100</f>
        <v>58.29531615081817</v>
      </c>
      <c r="K57" s="24">
        <f>K49+K50</f>
        <v>1109774529.6</v>
      </c>
      <c r="L57" s="29"/>
      <c r="M57" s="27"/>
      <c r="N57" s="30"/>
      <c r="O57" s="30"/>
    </row>
    <row r="58" spans="1:24" s="31" customFormat="1" ht="18.75" customHeight="1">
      <c r="A58" s="60" t="s">
        <v>60</v>
      </c>
      <c r="B58" s="49">
        <v>0</v>
      </c>
      <c r="C58" s="49">
        <v>0</v>
      </c>
      <c r="D58" s="49"/>
      <c r="E58" s="50">
        <v>0</v>
      </c>
      <c r="F58" s="61">
        <v>0</v>
      </c>
      <c r="G58" s="1304"/>
      <c r="H58" s="1305"/>
      <c r="I58" s="1306"/>
      <c r="J58" s="61">
        <v>0</v>
      </c>
      <c r="K58" s="62"/>
      <c r="L58" s="63"/>
      <c r="M58" s="64"/>
      <c r="N58" s="64"/>
      <c r="O58" s="64"/>
      <c r="P58" s="63"/>
      <c r="Q58" s="63"/>
      <c r="R58" s="63"/>
      <c r="S58" s="63"/>
      <c r="T58" s="63"/>
      <c r="U58" s="63"/>
      <c r="V58" s="63"/>
      <c r="W58" s="63"/>
      <c r="X58" s="63"/>
    </row>
    <row r="59" spans="1:15" s="31" customFormat="1" ht="18.75" customHeight="1">
      <c r="A59" s="60" t="s">
        <v>61</v>
      </c>
      <c r="B59" s="65">
        <f>B57+B58</f>
        <v>2645637328</v>
      </c>
      <c r="C59" s="65">
        <f>C57+C58</f>
        <v>2661030913.49</v>
      </c>
      <c r="D59" s="1331">
        <f>D57+E58</f>
        <v>275254959.45</v>
      </c>
      <c r="E59" s="1331"/>
      <c r="F59" s="23">
        <f>D59/C59*100</f>
        <v>10.343921900892054</v>
      </c>
      <c r="G59" s="1331">
        <f>G57+G58</f>
        <v>1551256383.89</v>
      </c>
      <c r="H59" s="1331"/>
      <c r="I59" s="1331"/>
      <c r="J59" s="23">
        <f>G59/C59*100</f>
        <v>58.29531615081817</v>
      </c>
      <c r="K59" s="24">
        <f>K57+K58</f>
        <v>1109774529.6</v>
      </c>
      <c r="L59" s="29"/>
      <c r="M59" s="698"/>
      <c r="N59" s="30"/>
      <c r="O59" s="30"/>
    </row>
    <row r="60" spans="1:15" s="31" customFormat="1" ht="22.5" customHeight="1">
      <c r="A60" s="851" t="s">
        <v>62</v>
      </c>
      <c r="B60" s="66">
        <v>0</v>
      </c>
      <c r="C60" s="66">
        <v>0</v>
      </c>
      <c r="D60" s="1335">
        <v>0</v>
      </c>
      <c r="E60" s="1335"/>
      <c r="F60" s="67">
        <v>0</v>
      </c>
      <c r="G60" s="1331">
        <v>0</v>
      </c>
      <c r="H60" s="1331"/>
      <c r="I60" s="1331"/>
      <c r="J60" s="67">
        <v>0</v>
      </c>
      <c r="K60" s="68"/>
      <c r="L60" s="903"/>
      <c r="M60" s="30"/>
      <c r="N60" s="30"/>
      <c r="O60" s="30"/>
    </row>
    <row r="61" spans="1:15" s="37" customFormat="1" ht="18.75" customHeight="1">
      <c r="A61" s="69"/>
      <c r="B61" s="10"/>
      <c r="C61" s="10"/>
      <c r="D61" s="10"/>
      <c r="E61" s="10"/>
      <c r="F61" s="10"/>
      <c r="G61" s="70"/>
      <c r="H61" s="589"/>
      <c r="I61" s="70"/>
      <c r="J61" s="70"/>
      <c r="K61" s="70"/>
      <c r="L61" s="35"/>
      <c r="M61" s="36"/>
      <c r="N61" s="36"/>
      <c r="O61" s="36"/>
    </row>
    <row r="62" spans="1:15" s="37" customFormat="1" ht="18.75" customHeight="1">
      <c r="A62" s="71"/>
      <c r="B62" s="10"/>
      <c r="C62" s="10"/>
      <c r="D62" s="10"/>
      <c r="E62" s="10"/>
      <c r="F62" s="10" t="s">
        <v>63</v>
      </c>
      <c r="G62" s="10"/>
      <c r="H62" s="10"/>
      <c r="I62" s="10"/>
      <c r="J62" s="10"/>
      <c r="K62" s="10"/>
      <c r="L62" s="35"/>
      <c r="M62" s="36"/>
      <c r="N62" s="36"/>
      <c r="O62" s="36"/>
    </row>
    <row r="63" spans="1:15" s="37" customFormat="1" ht="19.5" customHeight="1">
      <c r="A63" s="75" t="s">
        <v>716</v>
      </c>
      <c r="B63" s="75"/>
      <c r="C63" s="75"/>
      <c r="D63" s="72"/>
      <c r="E63" s="10"/>
      <c r="F63" s="10"/>
      <c r="G63" s="72"/>
      <c r="H63" s="72"/>
      <c r="I63" s="72"/>
      <c r="J63" s="72"/>
      <c r="K63" s="72"/>
      <c r="L63" s="35"/>
      <c r="M63" s="36"/>
      <c r="N63" s="36"/>
      <c r="O63" s="36"/>
    </row>
    <row r="64" spans="1:15" s="37" customFormat="1" ht="18.75" customHeight="1">
      <c r="A64" s="1189" t="s">
        <v>715</v>
      </c>
      <c r="B64" s="1189"/>
      <c r="C64" s="1189"/>
      <c r="D64" s="73"/>
      <c r="E64" s="587"/>
      <c r="F64" s="10"/>
      <c r="G64" s="73"/>
      <c r="H64" s="587"/>
      <c r="J64" s="587"/>
      <c r="K64" s="73"/>
      <c r="L64" s="35"/>
      <c r="M64" s="36"/>
      <c r="N64" s="36"/>
      <c r="O64" s="36"/>
    </row>
    <row r="65" spans="1:15" s="37" customFormat="1" ht="18.75" customHeight="1">
      <c r="A65" s="1190" t="s">
        <v>717</v>
      </c>
      <c r="B65" s="1190"/>
      <c r="C65" s="1190"/>
      <c r="D65" s="1039"/>
      <c r="E65" s="74"/>
      <c r="F65" s="74"/>
      <c r="G65" s="588"/>
      <c r="H65" s="586"/>
      <c r="I65" s="74"/>
      <c r="J65" s="74"/>
      <c r="K65" s="74"/>
      <c r="L65" s="35"/>
      <c r="M65" s="36"/>
      <c r="N65" s="36"/>
      <c r="O65" s="36"/>
    </row>
    <row r="66" spans="1:15" s="37" customFormat="1" ht="18.75" customHeight="1">
      <c r="A66" s="1339" t="str">
        <f>A4</f>
        <v>Referência: JANEIRO-OUTUBRO/2012; BIMESTRE: SETEMBRO/OUTUBRO/2012</v>
      </c>
      <c r="B66" s="1339"/>
      <c r="C66" s="1339"/>
      <c r="D66" s="711"/>
      <c r="E66" s="711"/>
      <c r="F66" s="711"/>
      <c r="G66" s="6"/>
      <c r="H66" s="1337" t="s">
        <v>789</v>
      </c>
      <c r="I66" s="1337"/>
      <c r="J66" s="1337"/>
      <c r="K66" s="72"/>
      <c r="L66" s="35"/>
      <c r="M66" s="36"/>
      <c r="N66" s="36"/>
      <c r="O66" s="36"/>
    </row>
    <row r="67" spans="1:15" s="37" customFormat="1" ht="18.75" customHeight="1">
      <c r="A67" s="1340"/>
      <c r="B67" s="1340"/>
      <c r="C67" s="1340"/>
      <c r="D67" s="6"/>
      <c r="E67" s="709"/>
      <c r="F67" s="6"/>
      <c r="G67" s="6"/>
      <c r="H67" s="1338" t="str">
        <f>H4</f>
        <v>Data: 26/11/2012</v>
      </c>
      <c r="I67" s="1338"/>
      <c r="J67" s="10"/>
      <c r="K67" s="11"/>
      <c r="L67" s="467"/>
      <c r="M67" s="30"/>
      <c r="N67" s="30"/>
      <c r="O67" s="30"/>
    </row>
    <row r="68" spans="1:23" s="37" customFormat="1" ht="18.75" customHeight="1">
      <c r="A68" s="1341" t="s">
        <v>718</v>
      </c>
      <c r="B68" s="1341"/>
      <c r="C68" s="1341"/>
      <c r="D68" s="10"/>
      <c r="E68" s="10"/>
      <c r="F68" s="10"/>
      <c r="G68" s="76"/>
      <c r="H68" s="76"/>
      <c r="I68" s="76"/>
      <c r="J68" s="76"/>
      <c r="K68" s="11" t="s">
        <v>662</v>
      </c>
      <c r="L68" s="35"/>
      <c r="M68" s="4" t="s">
        <v>539</v>
      </c>
      <c r="N68" s="4"/>
      <c r="O68" s="4"/>
      <c r="P68" s="36"/>
      <c r="Q68" s="36"/>
      <c r="R68" s="36"/>
      <c r="S68" s="36"/>
      <c r="T68" s="36"/>
      <c r="U68" s="36"/>
      <c r="V68" s="36"/>
      <c r="W68" s="36"/>
    </row>
    <row r="69" spans="1:23" s="37" customFormat="1" ht="18.75" customHeight="1">
      <c r="A69" s="77"/>
      <c r="B69" s="78" t="s">
        <v>64</v>
      </c>
      <c r="C69" s="78" t="s">
        <v>65</v>
      </c>
      <c r="D69" s="78" t="s">
        <v>64</v>
      </c>
      <c r="E69" s="1336" t="s">
        <v>66</v>
      </c>
      <c r="F69" s="1336"/>
      <c r="G69" s="1336" t="s">
        <v>67</v>
      </c>
      <c r="H69" s="1336"/>
      <c r="I69" s="1336"/>
      <c r="J69" s="1336"/>
      <c r="K69" s="1343" t="s">
        <v>68</v>
      </c>
      <c r="L69" s="36"/>
      <c r="M69" s="709"/>
      <c r="N69" s="118"/>
      <c r="O69" s="690"/>
      <c r="P69" s="30"/>
      <c r="Q69" s="30"/>
      <c r="R69" s="36"/>
      <c r="S69" s="36"/>
      <c r="T69" s="36"/>
      <c r="U69" s="36"/>
      <c r="V69" s="36"/>
      <c r="W69" s="36"/>
    </row>
    <row r="70" spans="1:23" s="37" customFormat="1" ht="18.75" customHeight="1">
      <c r="A70" s="79"/>
      <c r="B70" s="80"/>
      <c r="C70" s="80"/>
      <c r="D70" s="80"/>
      <c r="E70" s="81"/>
      <c r="F70" s="81"/>
      <c r="G70" s="1336" t="s">
        <v>69</v>
      </c>
      <c r="H70" s="1336"/>
      <c r="I70" s="1344" t="s">
        <v>70</v>
      </c>
      <c r="J70" s="81"/>
      <c r="K70" s="1343"/>
      <c r="L70" s="36"/>
      <c r="M70" s="4"/>
      <c r="N70" s="4"/>
      <c r="O70" s="690"/>
      <c r="P70" s="30"/>
      <c r="Q70" s="30"/>
      <c r="R70" s="36"/>
      <c r="S70" s="36"/>
      <c r="T70" s="36"/>
      <c r="U70" s="36"/>
      <c r="V70" s="36"/>
      <c r="W70" s="36"/>
    </row>
    <row r="71" spans="1:23" s="37" customFormat="1" ht="18.75" customHeight="1">
      <c r="A71" s="82" t="s">
        <v>71</v>
      </c>
      <c r="B71" s="83" t="s">
        <v>72</v>
      </c>
      <c r="C71" s="83" t="s">
        <v>73</v>
      </c>
      <c r="D71" s="83" t="s">
        <v>74</v>
      </c>
      <c r="E71" s="18" t="s">
        <v>8</v>
      </c>
      <c r="F71" s="18" t="s">
        <v>75</v>
      </c>
      <c r="G71" s="18" t="s">
        <v>8</v>
      </c>
      <c r="H71" s="18" t="s">
        <v>10</v>
      </c>
      <c r="I71" s="1344"/>
      <c r="J71" s="17" t="s">
        <v>9</v>
      </c>
      <c r="K71" s="1343"/>
      <c r="L71" s="36"/>
      <c r="M71" s="4"/>
      <c r="N71" s="4"/>
      <c r="O71" s="690"/>
      <c r="P71" s="30"/>
      <c r="Q71" s="30"/>
      <c r="R71" s="36"/>
      <c r="S71" s="36"/>
      <c r="T71" s="36"/>
      <c r="U71" s="36"/>
      <c r="V71" s="36"/>
      <c r="W71" s="36"/>
    </row>
    <row r="72" spans="1:23" s="37" customFormat="1" ht="18.75" customHeight="1">
      <c r="A72" s="84"/>
      <c r="B72" s="85" t="s">
        <v>76</v>
      </c>
      <c r="C72" s="85" t="s">
        <v>77</v>
      </c>
      <c r="D72" s="85" t="s">
        <v>78</v>
      </c>
      <c r="E72" s="85" t="s">
        <v>79</v>
      </c>
      <c r="F72" s="85" t="s">
        <v>80</v>
      </c>
      <c r="G72" s="85" t="s">
        <v>81</v>
      </c>
      <c r="H72" s="85" t="s">
        <v>82</v>
      </c>
      <c r="I72" s="1344"/>
      <c r="J72" s="86" t="s">
        <v>83</v>
      </c>
      <c r="K72" s="87" t="s">
        <v>84</v>
      </c>
      <c r="L72" s="36"/>
      <c r="M72" s="4"/>
      <c r="N72" s="4"/>
      <c r="O72" s="4"/>
      <c r="P72" s="36"/>
      <c r="Q72" s="36"/>
      <c r="R72" s="36"/>
      <c r="S72" s="36"/>
      <c r="T72" s="36"/>
      <c r="U72" s="36"/>
      <c r="V72" s="36"/>
      <c r="W72" s="36"/>
    </row>
    <row r="73" spans="1:23" s="37" customFormat="1" ht="18.75" customHeight="1">
      <c r="A73" s="25" t="s">
        <v>85</v>
      </c>
      <c r="B73" s="88">
        <f aca="true" t="shared" si="7" ref="B73:H73">B74+B78+B82+B83</f>
        <v>2569148696</v>
      </c>
      <c r="C73" s="88">
        <f t="shared" si="7"/>
        <v>15393585.48999998</v>
      </c>
      <c r="D73" s="88">
        <f t="shared" si="7"/>
        <v>2584542281.49</v>
      </c>
      <c r="E73" s="88">
        <f t="shared" si="7"/>
        <v>175442067.90000007</v>
      </c>
      <c r="F73" s="88">
        <f t="shared" si="7"/>
        <v>1909296820.9399998</v>
      </c>
      <c r="G73" s="88">
        <f t="shared" si="7"/>
        <v>325468306.16999996</v>
      </c>
      <c r="H73" s="88">
        <f t="shared" si="7"/>
        <v>1486781424.2</v>
      </c>
      <c r="I73" s="88">
        <f>I74+I78+I82</f>
        <v>0</v>
      </c>
      <c r="J73" s="89">
        <f aca="true" t="shared" si="8" ref="J73:J82">(H73+I73)/D73*100</f>
        <v>57.52590835321387</v>
      </c>
      <c r="K73" s="90">
        <f>K74+K78+K82+K83</f>
        <v>1097760857.29</v>
      </c>
      <c r="L73" s="91"/>
      <c r="M73" s="4"/>
      <c r="N73" s="4"/>
      <c r="O73" s="690"/>
      <c r="P73" s="30"/>
      <c r="Q73" s="30"/>
      <c r="R73" s="36"/>
      <c r="S73" s="36"/>
      <c r="T73" s="36"/>
      <c r="U73" s="36"/>
      <c r="V73" s="36"/>
      <c r="W73" s="36"/>
    </row>
    <row r="74" spans="1:23" s="31" customFormat="1" ht="18.75" customHeight="1">
      <c r="A74" s="92" t="s">
        <v>86</v>
      </c>
      <c r="B74" s="93">
        <f>B75+B76+B77</f>
        <v>1955744209</v>
      </c>
      <c r="C74" s="93">
        <f>C75+C76+C77</f>
        <v>-4248468.770000014</v>
      </c>
      <c r="D74" s="93">
        <f aca="true" t="shared" si="9" ref="D74:I74">D75+D76+D77</f>
        <v>1951495740.23</v>
      </c>
      <c r="E74" s="93">
        <f t="shared" si="9"/>
        <v>157639876.64000005</v>
      </c>
      <c r="F74" s="93">
        <f t="shared" si="9"/>
        <v>1580526038.62</v>
      </c>
      <c r="G74" s="93">
        <f t="shared" si="9"/>
        <v>288343916.35999995</v>
      </c>
      <c r="H74" s="93">
        <f t="shared" si="9"/>
        <v>1300029483.6100001</v>
      </c>
      <c r="I74" s="93">
        <f t="shared" si="9"/>
        <v>0</v>
      </c>
      <c r="J74" s="89">
        <f t="shared" si="8"/>
        <v>66.6170802636126</v>
      </c>
      <c r="K74" s="94">
        <f>K75+K76+K77</f>
        <v>651466256.6199999</v>
      </c>
      <c r="L74" s="91"/>
      <c r="M74" s="4"/>
      <c r="N74" s="4"/>
      <c r="O74" s="690"/>
      <c r="P74" s="30"/>
      <c r="Q74" s="30"/>
      <c r="R74" s="30"/>
      <c r="S74" s="30"/>
      <c r="T74" s="30"/>
      <c r="U74" s="30"/>
      <c r="V74" s="30"/>
      <c r="W74" s="30"/>
    </row>
    <row r="75" spans="1:23" s="31" customFormat="1" ht="18.75" customHeight="1">
      <c r="A75" s="95" t="s">
        <v>87</v>
      </c>
      <c r="B75" s="96">
        <f>960607442-B84</f>
        <v>884118810</v>
      </c>
      <c r="C75" s="96">
        <f>58093007.09-32368507.69</f>
        <v>25724499.400000002</v>
      </c>
      <c r="D75" s="680">
        <f>B75+C75</f>
        <v>909843309.4</v>
      </c>
      <c r="E75" s="40">
        <f>F75-'[21]Anexo I_BAL ORC'!F75</f>
        <v>36693008.03999996</v>
      </c>
      <c r="F75" s="96">
        <f>841635111.91-F84</f>
        <v>781184985.68</v>
      </c>
      <c r="G75" s="40">
        <f>H75-'[21]Anexo I_BAL ORC'!H75</f>
        <v>127160932.56999993</v>
      </c>
      <c r="H75" s="686">
        <f>684329166.21-H84</f>
        <v>633377948.64</v>
      </c>
      <c r="I75" s="96">
        <v>0</v>
      </c>
      <c r="J75" s="89">
        <f t="shared" si="8"/>
        <v>69.61395902967993</v>
      </c>
      <c r="K75" s="97">
        <f>(D75-(H75+I75))</f>
        <v>276465360.76</v>
      </c>
      <c r="L75" s="91"/>
      <c r="M75" s="4"/>
      <c r="N75" s="4"/>
      <c r="O75" s="690"/>
      <c r="P75" s="30"/>
      <c r="Q75" s="30"/>
      <c r="R75" s="30"/>
      <c r="S75" s="30"/>
      <c r="T75" s="30"/>
      <c r="U75" s="30"/>
      <c r="V75" s="30"/>
      <c r="W75" s="30"/>
    </row>
    <row r="76" spans="1:15" s="37" customFormat="1" ht="18.75" customHeight="1">
      <c r="A76" s="95" t="s">
        <v>88</v>
      </c>
      <c r="B76" s="96">
        <v>2860000</v>
      </c>
      <c r="C76" s="96">
        <v>0</v>
      </c>
      <c r="D76" s="680">
        <f>B76+C76</f>
        <v>2860000</v>
      </c>
      <c r="E76" s="40">
        <f>F76-'[21]Anexo I_BAL ORC'!F76</f>
        <v>88110.55000000005</v>
      </c>
      <c r="F76" s="96">
        <v>960519.75</v>
      </c>
      <c r="G76" s="40">
        <f>H76-'[21]Anexo I_BAL ORC'!H76</f>
        <v>88110.54999999999</v>
      </c>
      <c r="H76" s="686">
        <v>573457.71</v>
      </c>
      <c r="I76" s="96">
        <v>0</v>
      </c>
      <c r="J76" s="89">
        <f t="shared" si="8"/>
        <v>20.05096888111888</v>
      </c>
      <c r="K76" s="97">
        <f>(D76-(H76+I76))</f>
        <v>2286542.29</v>
      </c>
      <c r="L76" s="91"/>
      <c r="M76" s="4"/>
      <c r="N76" s="4"/>
      <c r="O76" s="689"/>
    </row>
    <row r="77" spans="1:15" s="37" customFormat="1" ht="18.75" customHeight="1">
      <c r="A77" s="95" t="s">
        <v>89</v>
      </c>
      <c r="B77" s="96">
        <v>1068765399</v>
      </c>
      <c r="C77" s="96">
        <f>126821452.88-156794421.05</f>
        <v>-29972968.170000017</v>
      </c>
      <c r="D77" s="680">
        <f>B77+C77</f>
        <v>1038792430.8299999</v>
      </c>
      <c r="E77" s="40">
        <f>F77-'[21]Anexo I_BAL ORC'!F77</f>
        <v>120858758.05000007</v>
      </c>
      <c r="F77" s="96">
        <v>798380533.19</v>
      </c>
      <c r="G77" s="40">
        <f>H77-'[21]Anexo I_BAL ORC'!H77</f>
        <v>161094873.24</v>
      </c>
      <c r="H77" s="686">
        <v>666078077.26</v>
      </c>
      <c r="I77" s="96">
        <v>0</v>
      </c>
      <c r="J77" s="89">
        <f>(H77+I77)/D77*100</f>
        <v>64.12042073966602</v>
      </c>
      <c r="K77" s="97">
        <f>(D77-(H77+I77))</f>
        <v>372714353.56999993</v>
      </c>
      <c r="L77" s="91"/>
      <c r="M77" s="4"/>
      <c r="N77" s="4"/>
      <c r="O77" s="689"/>
    </row>
    <row r="78" spans="1:15" s="98" customFormat="1" ht="18.75" customHeight="1">
      <c r="A78" s="92" t="s">
        <v>90</v>
      </c>
      <c r="B78" s="93">
        <f aca="true" t="shared" si="10" ref="B78:I78">B79+B80+B81</f>
        <v>547737366</v>
      </c>
      <c r="C78" s="93">
        <f t="shared" si="10"/>
        <v>50590182.87</v>
      </c>
      <c r="D78" s="681">
        <f t="shared" si="10"/>
        <v>598327548.87</v>
      </c>
      <c r="E78" s="93">
        <f t="shared" si="10"/>
        <v>17802191.26000002</v>
      </c>
      <c r="F78" s="93">
        <f t="shared" si="10"/>
        <v>328770782.32</v>
      </c>
      <c r="G78" s="93">
        <f t="shared" si="10"/>
        <v>37124389.81</v>
      </c>
      <c r="H78" s="681">
        <f t="shared" si="10"/>
        <v>186751940.59</v>
      </c>
      <c r="I78" s="93">
        <f t="shared" si="10"/>
        <v>0</v>
      </c>
      <c r="J78" s="89">
        <f t="shared" si="8"/>
        <v>31.21232524604613</v>
      </c>
      <c r="K78" s="94">
        <f>K79+K80+K81</f>
        <v>411575608.28</v>
      </c>
      <c r="L78" s="91"/>
      <c r="M78" s="4"/>
      <c r="N78" s="4"/>
      <c r="O78" s="689"/>
    </row>
    <row r="79" spans="1:15" ht="18.75" customHeight="1">
      <c r="A79" s="95" t="s">
        <v>91</v>
      </c>
      <c r="B79" s="96">
        <v>520396261</v>
      </c>
      <c r="C79" s="96">
        <f>97194122.14-46103939.27</f>
        <v>51090182.87</v>
      </c>
      <c r="D79" s="680">
        <f>B79+C79</f>
        <v>571486443.87</v>
      </c>
      <c r="E79" s="40">
        <f>F79-'[21]Anexo I_BAL ORC'!F79</f>
        <v>17321832.73000002</v>
      </c>
      <c r="F79" s="96">
        <v>302869764.68</v>
      </c>
      <c r="G79" s="40">
        <v>31439577.77</v>
      </c>
      <c r="H79" s="686">
        <v>164786273.35</v>
      </c>
      <c r="I79" s="96">
        <v>0</v>
      </c>
      <c r="J79" s="89">
        <f t="shared" si="8"/>
        <v>28.834677553171336</v>
      </c>
      <c r="K79" s="97">
        <f aca="true" t="shared" si="11" ref="K79:K93">(D79-(H79+I79))</f>
        <v>406700170.52</v>
      </c>
      <c r="L79" s="91"/>
      <c r="M79" s="91"/>
      <c r="N79" s="91"/>
      <c r="O79" s="91"/>
    </row>
    <row r="80" spans="1:15" ht="18.75" customHeight="1">
      <c r="A80" s="95" t="s">
        <v>92</v>
      </c>
      <c r="B80" s="96">
        <v>811945</v>
      </c>
      <c r="C80" s="96">
        <v>-500000</v>
      </c>
      <c r="D80" s="680">
        <f>B80+C80</f>
        <v>311945</v>
      </c>
      <c r="E80" s="40">
        <f>F80-'[21]Anexo I_BAL ORC'!F80</f>
        <v>0</v>
      </c>
      <c r="F80" s="96">
        <v>0</v>
      </c>
      <c r="G80" s="40">
        <f>H80-'[21]Anexo I_BAL ORC'!H80</f>
        <v>0</v>
      </c>
      <c r="H80" s="686">
        <v>0</v>
      </c>
      <c r="I80" s="96">
        <v>0</v>
      </c>
      <c r="J80" s="89">
        <f t="shared" si="8"/>
        <v>0</v>
      </c>
      <c r="K80" s="97">
        <f t="shared" si="11"/>
        <v>311945</v>
      </c>
      <c r="L80" s="91"/>
      <c r="M80" s="4"/>
      <c r="N80" s="91"/>
      <c r="O80" s="91"/>
    </row>
    <row r="81" spans="1:15" ht="18.75" customHeight="1">
      <c r="A81" s="95" t="s">
        <v>93</v>
      </c>
      <c r="B81" s="96">
        <v>26529160</v>
      </c>
      <c r="C81" s="96">
        <v>0</v>
      </c>
      <c r="D81" s="680">
        <f>B81+C81</f>
        <v>26529160</v>
      </c>
      <c r="E81" s="40">
        <f>F81-'[21]Anexo I_BAL ORC'!F81</f>
        <v>480358.5300000012</v>
      </c>
      <c r="F81" s="96">
        <v>25901017.64</v>
      </c>
      <c r="G81" s="40">
        <f>H81-'[21]Anexo I_BAL ORC'!H81</f>
        <v>5684812.039999999</v>
      </c>
      <c r="H81" s="686">
        <v>21965667.24</v>
      </c>
      <c r="I81" s="96">
        <v>0</v>
      </c>
      <c r="J81" s="89">
        <f t="shared" si="8"/>
        <v>82.79820107383725</v>
      </c>
      <c r="K81" s="97">
        <f t="shared" si="11"/>
        <v>4563492.760000002</v>
      </c>
      <c r="L81" s="91"/>
      <c r="M81" s="4"/>
      <c r="N81" s="91"/>
      <c r="O81" s="463"/>
    </row>
    <row r="82" spans="1:15" ht="18.75" customHeight="1">
      <c r="A82" s="92" t="s">
        <v>94</v>
      </c>
      <c r="B82" s="93">
        <v>65667121</v>
      </c>
      <c r="C82" s="93">
        <v>-30948128.61</v>
      </c>
      <c r="D82" s="680">
        <f>B82+C82</f>
        <v>34718992.39</v>
      </c>
      <c r="E82" s="40">
        <f>F82-'[21]Anexo I_BAL ORC'!F82</f>
        <v>0</v>
      </c>
      <c r="F82" s="93">
        <v>0</v>
      </c>
      <c r="G82" s="40">
        <f>H82-'[21]Anexo I_BAL ORC'!H82</f>
        <v>0</v>
      </c>
      <c r="H82" s="681">
        <v>0</v>
      </c>
      <c r="I82" s="93">
        <f>F82-H82</f>
        <v>0</v>
      </c>
      <c r="J82" s="89">
        <f t="shared" si="8"/>
        <v>0</v>
      </c>
      <c r="K82" s="94">
        <f t="shared" si="11"/>
        <v>34718992.39</v>
      </c>
      <c r="L82" s="91"/>
      <c r="M82" s="4"/>
      <c r="N82" s="91"/>
      <c r="O82" s="91"/>
    </row>
    <row r="83" spans="1:15" ht="18.75" customHeight="1">
      <c r="A83" s="92" t="s">
        <v>95</v>
      </c>
      <c r="B83" s="93">
        <v>0</v>
      </c>
      <c r="C83" s="93">
        <v>0</v>
      </c>
      <c r="D83" s="680">
        <f>B83+C83</f>
        <v>0</v>
      </c>
      <c r="E83" s="40">
        <f>F83-'[21]Anexo I_BAL ORC'!F83</f>
        <v>0</v>
      </c>
      <c r="F83" s="93">
        <v>0</v>
      </c>
      <c r="G83" s="40">
        <f>H83-'[21]Anexo I_BAL ORC'!H83</f>
        <v>0</v>
      </c>
      <c r="H83" s="681">
        <v>0</v>
      </c>
      <c r="I83" s="93">
        <v>0</v>
      </c>
      <c r="J83" s="89">
        <v>0</v>
      </c>
      <c r="K83" s="94">
        <f t="shared" si="11"/>
        <v>0</v>
      </c>
      <c r="L83" s="91"/>
      <c r="M83" s="4"/>
      <c r="N83" s="91"/>
      <c r="O83" s="91"/>
    </row>
    <row r="84" spans="1:15" ht="18.75" customHeight="1">
      <c r="A84" s="25" t="s">
        <v>96</v>
      </c>
      <c r="B84" s="681">
        <f>'Anexo II_DP FUNC'!C130</f>
        <v>76488632</v>
      </c>
      <c r="C84" s="93">
        <f>D84-B84</f>
        <v>0</v>
      </c>
      <c r="D84" s="1072">
        <f>'Anexo II_DP FUNC'!D130</f>
        <v>76488632</v>
      </c>
      <c r="E84" s="40">
        <f>F84-'[21]Anexo I_BAL ORC'!F84</f>
        <v>0</v>
      </c>
      <c r="F84" s="681">
        <f>'Anexo II_DP FUNC'!F130</f>
        <v>60450126.23</v>
      </c>
      <c r="G84" s="1191">
        <f>'Anexo II_DP FUNC'!G130</f>
        <v>10591734.43</v>
      </c>
      <c r="H84" s="681">
        <f>'Anexo II_DP FUNC'!H130</f>
        <v>50951217.57</v>
      </c>
      <c r="I84" s="681">
        <f>'Anexo II_DP FUNC'!I130</f>
        <v>0</v>
      </c>
      <c r="J84" s="111">
        <f>(H84+I84)/D84*100</f>
        <v>66.6127975331027</v>
      </c>
      <c r="K84" s="99">
        <f t="shared" si="11"/>
        <v>25537414.43</v>
      </c>
      <c r="L84" s="91"/>
      <c r="M84" s="4"/>
      <c r="N84" s="91"/>
      <c r="O84" s="91"/>
    </row>
    <row r="85" spans="1:15" s="103" customFormat="1" ht="18.75" customHeight="1">
      <c r="A85" s="532" t="s">
        <v>97</v>
      </c>
      <c r="B85" s="100">
        <f aca="true" t="shared" si="12" ref="B85:I85">B73+B84</f>
        <v>2645637328</v>
      </c>
      <c r="C85" s="100">
        <f>C73+C84</f>
        <v>15393585.48999998</v>
      </c>
      <c r="D85" s="100">
        <f t="shared" si="12"/>
        <v>2661030913.49</v>
      </c>
      <c r="E85" s="100">
        <f t="shared" si="12"/>
        <v>175442067.90000007</v>
      </c>
      <c r="F85" s="100">
        <f t="shared" si="12"/>
        <v>1969746947.1699998</v>
      </c>
      <c r="G85" s="100">
        <f t="shared" si="12"/>
        <v>336060040.59999996</v>
      </c>
      <c r="H85" s="682">
        <f t="shared" si="12"/>
        <v>1537732641.77</v>
      </c>
      <c r="I85" s="100">
        <f t="shared" si="12"/>
        <v>0</v>
      </c>
      <c r="J85" s="101">
        <f>(H85+I85)/D85*100</f>
        <v>57.787101757237025</v>
      </c>
      <c r="K85" s="102">
        <f t="shared" si="11"/>
        <v>1123298271.7199998</v>
      </c>
      <c r="L85" s="91"/>
      <c r="M85" s="4"/>
      <c r="N85" s="91"/>
      <c r="O85" s="91"/>
    </row>
    <row r="86" spans="1:15" s="103" customFormat="1" ht="18.75" customHeight="1">
      <c r="A86" s="533" t="s">
        <v>663</v>
      </c>
      <c r="B86" s="104">
        <f aca="true" t="shared" si="13" ref="B86:K86">B87+B90</f>
        <v>0</v>
      </c>
      <c r="C86" s="104">
        <f t="shared" si="13"/>
        <v>0</v>
      </c>
      <c r="D86" s="683">
        <f t="shared" si="13"/>
        <v>0</v>
      </c>
      <c r="E86" s="104">
        <f t="shared" si="13"/>
        <v>0</v>
      </c>
      <c r="F86" s="104">
        <f t="shared" si="13"/>
        <v>0</v>
      </c>
      <c r="G86" s="104">
        <f t="shared" si="13"/>
        <v>0</v>
      </c>
      <c r="H86" s="104">
        <f t="shared" si="13"/>
        <v>0</v>
      </c>
      <c r="I86" s="104">
        <f t="shared" si="13"/>
        <v>0</v>
      </c>
      <c r="J86" s="104">
        <f t="shared" si="13"/>
        <v>0</v>
      </c>
      <c r="K86" s="104">
        <f t="shared" si="13"/>
        <v>0</v>
      </c>
      <c r="L86" s="105"/>
      <c r="M86" s="713"/>
      <c r="N86" s="105"/>
      <c r="O86" s="105"/>
    </row>
    <row r="87" spans="1:12" s="103" customFormat="1" ht="18.75" customHeight="1">
      <c r="A87" s="51" t="s">
        <v>98</v>
      </c>
      <c r="B87" s="94">
        <f aca="true" t="shared" si="14" ref="B87:K87">SUM(B88:B89)</f>
        <v>0</v>
      </c>
      <c r="C87" s="94">
        <f t="shared" si="14"/>
        <v>0</v>
      </c>
      <c r="D87" s="684">
        <f t="shared" si="14"/>
        <v>0</v>
      </c>
      <c r="E87" s="94">
        <f t="shared" si="14"/>
        <v>0</v>
      </c>
      <c r="F87" s="94">
        <f t="shared" si="14"/>
        <v>0</v>
      </c>
      <c r="G87" s="94">
        <f t="shared" si="14"/>
        <v>0</v>
      </c>
      <c r="H87" s="94">
        <f t="shared" si="14"/>
        <v>0</v>
      </c>
      <c r="I87" s="94">
        <f t="shared" si="14"/>
        <v>0</v>
      </c>
      <c r="J87" s="94">
        <f t="shared" si="14"/>
        <v>0</v>
      </c>
      <c r="K87" s="94">
        <f t="shared" si="14"/>
        <v>0</v>
      </c>
      <c r="L87" s="105"/>
    </row>
    <row r="88" spans="1:12" s="107" customFormat="1" ht="18.75" customHeight="1">
      <c r="A88" s="534" t="s">
        <v>99</v>
      </c>
      <c r="B88" s="97">
        <v>0</v>
      </c>
      <c r="C88" s="97">
        <v>0</v>
      </c>
      <c r="D88" s="680"/>
      <c r="E88" s="40">
        <f>F88-'[21]Anexo I_BAL ORC'!F88</f>
        <v>0</v>
      </c>
      <c r="F88" s="97">
        <v>0</v>
      </c>
      <c r="G88" s="40">
        <f>H88-'[21]Anexo I_BAL ORC'!H88</f>
        <v>0</v>
      </c>
      <c r="H88" s="687"/>
      <c r="I88" s="97"/>
      <c r="J88" s="89"/>
      <c r="K88" s="94">
        <f t="shared" si="11"/>
        <v>0</v>
      </c>
      <c r="L88" s="106"/>
    </row>
    <row r="89" spans="1:13" s="107" customFormat="1" ht="18.75" customHeight="1">
      <c r="A89" s="534" t="s">
        <v>100</v>
      </c>
      <c r="B89" s="97"/>
      <c r="C89" s="97">
        <v>0</v>
      </c>
      <c r="D89" s="680"/>
      <c r="E89" s="40">
        <f>F89-'[21]Anexo I_BAL ORC'!F89</f>
        <v>0</v>
      </c>
      <c r="F89" s="97">
        <v>0</v>
      </c>
      <c r="G89" s="40">
        <f>H89-'[21]Anexo I_BAL ORC'!H89</f>
        <v>0</v>
      </c>
      <c r="H89" s="687"/>
      <c r="I89" s="97"/>
      <c r="J89" s="89"/>
      <c r="K89" s="94">
        <f t="shared" si="11"/>
        <v>0</v>
      </c>
      <c r="L89" s="106"/>
      <c r="M89" s="993"/>
    </row>
    <row r="90" spans="1:15" s="103" customFormat="1" ht="18.75" customHeight="1">
      <c r="A90" s="51" t="s">
        <v>101</v>
      </c>
      <c r="B90" s="94">
        <f aca="true" t="shared" si="15" ref="B90:K90">SUM(B91:B92)</f>
        <v>0</v>
      </c>
      <c r="C90" s="94">
        <f t="shared" si="15"/>
        <v>0</v>
      </c>
      <c r="D90" s="684">
        <f t="shared" si="15"/>
        <v>0</v>
      </c>
      <c r="E90" s="684">
        <f t="shared" si="15"/>
        <v>0</v>
      </c>
      <c r="F90" s="94">
        <f t="shared" si="15"/>
        <v>0</v>
      </c>
      <c r="G90" s="94">
        <f t="shared" si="15"/>
        <v>0</v>
      </c>
      <c r="H90" s="94">
        <f t="shared" si="15"/>
        <v>0</v>
      </c>
      <c r="I90" s="94">
        <f t="shared" si="15"/>
        <v>0</v>
      </c>
      <c r="J90" s="94">
        <f t="shared" si="15"/>
        <v>0</v>
      </c>
      <c r="K90" s="94">
        <f t="shared" si="15"/>
        <v>0</v>
      </c>
      <c r="L90" s="898"/>
      <c r="M90" s="105"/>
      <c r="N90" s="105"/>
      <c r="O90" s="105"/>
    </row>
    <row r="91" spans="1:15" s="107" customFormat="1" ht="18.75" customHeight="1">
      <c r="A91" s="534" t="s">
        <v>99</v>
      </c>
      <c r="B91" s="97">
        <v>0</v>
      </c>
      <c r="C91" s="97">
        <v>0</v>
      </c>
      <c r="D91" s="680"/>
      <c r="E91" s="40">
        <f>F91-'[21]Anexo I_BAL ORC'!F91</f>
        <v>0</v>
      </c>
      <c r="F91" s="97">
        <v>0</v>
      </c>
      <c r="G91" s="40">
        <f>H91-'[21]Anexo I_BAL ORC'!H91</f>
        <v>0</v>
      </c>
      <c r="H91" s="687"/>
      <c r="I91" s="97"/>
      <c r="J91" s="89"/>
      <c r="K91" s="94">
        <f t="shared" si="11"/>
        <v>0</v>
      </c>
      <c r="L91" s="106"/>
      <c r="M91" s="106"/>
      <c r="N91" s="106"/>
      <c r="O91" s="106"/>
    </row>
    <row r="92" spans="1:15" s="107" customFormat="1" ht="18.75" customHeight="1">
      <c r="A92" s="535" t="s">
        <v>100</v>
      </c>
      <c r="B92" s="108">
        <v>0</v>
      </c>
      <c r="C92" s="108">
        <v>0</v>
      </c>
      <c r="D92" s="685"/>
      <c r="E92" s="40">
        <f>F92-'[21]Anexo I_BAL ORC'!F92</f>
        <v>0</v>
      </c>
      <c r="F92" s="108">
        <v>0</v>
      </c>
      <c r="G92" s="40">
        <f>H92-'[21]Anexo I_BAL ORC'!H92</f>
        <v>0</v>
      </c>
      <c r="H92" s="688"/>
      <c r="I92" s="108"/>
      <c r="J92" s="109"/>
      <c r="K92" s="94">
        <f t="shared" si="11"/>
        <v>0</v>
      </c>
      <c r="L92" s="106"/>
      <c r="M92" s="106"/>
      <c r="N92" s="106"/>
      <c r="O92" s="106"/>
    </row>
    <row r="93" spans="1:12" s="103" customFormat="1" ht="18.75" customHeight="1">
      <c r="A93" s="112" t="s">
        <v>102</v>
      </c>
      <c r="B93" s="99">
        <f aca="true" t="shared" si="16" ref="B93:G93">B85</f>
        <v>2645637328</v>
      </c>
      <c r="C93" s="99">
        <f t="shared" si="16"/>
        <v>15393585.48999998</v>
      </c>
      <c r="D93" s="110">
        <f t="shared" si="16"/>
        <v>2661030913.49</v>
      </c>
      <c r="E93" s="714">
        <f t="shared" si="16"/>
        <v>175442067.90000007</v>
      </c>
      <c r="F93" s="110">
        <f t="shared" si="16"/>
        <v>1969746947.1699998</v>
      </c>
      <c r="G93" s="890">
        <f t="shared" si="16"/>
        <v>336060040.59999996</v>
      </c>
      <c r="H93" s="1331">
        <f>(H85+I85)+(H86+I86)</f>
        <v>1537732641.77</v>
      </c>
      <c r="I93" s="1331"/>
      <c r="J93" s="111">
        <f>H93/D93*100</f>
        <v>57.787101757237025</v>
      </c>
      <c r="K93" s="102">
        <f t="shared" si="11"/>
        <v>1123298271.7199998</v>
      </c>
      <c r="L93" s="105"/>
    </row>
    <row r="94" spans="1:12" s="31" customFormat="1" ht="18.75" customHeight="1">
      <c r="A94" s="112" t="s">
        <v>103</v>
      </c>
      <c r="B94" s="113" t="s">
        <v>23</v>
      </c>
      <c r="C94" s="113" t="s">
        <v>23</v>
      </c>
      <c r="D94" s="113" t="s">
        <v>23</v>
      </c>
      <c r="E94" s="830" t="s">
        <v>23</v>
      </c>
      <c r="F94" s="113" t="s">
        <v>23</v>
      </c>
      <c r="G94" s="113">
        <v>0</v>
      </c>
      <c r="H94" s="1331">
        <f>G59-H93</f>
        <v>13523742.120000124</v>
      </c>
      <c r="I94" s="1331"/>
      <c r="J94" s="114">
        <v>0</v>
      </c>
      <c r="K94" s="102">
        <f>-H94</f>
        <v>-13523742.120000124</v>
      </c>
      <c r="L94" s="115"/>
    </row>
    <row r="95" spans="1:15" s="98" customFormat="1" ht="18.75" customHeight="1">
      <c r="A95" s="112" t="s">
        <v>104</v>
      </c>
      <c r="B95" s="99">
        <f>B85</f>
        <v>2645637328</v>
      </c>
      <c r="C95" s="99">
        <f>C85</f>
        <v>15393585.48999998</v>
      </c>
      <c r="D95" s="99">
        <f>D85</f>
        <v>2661030913.49</v>
      </c>
      <c r="E95" s="99">
        <f>E85</f>
        <v>175442067.90000007</v>
      </c>
      <c r="F95" s="99">
        <f>F85</f>
        <v>1969746947.1699998</v>
      </c>
      <c r="G95" s="99">
        <f>G93+G94</f>
        <v>336060040.59999996</v>
      </c>
      <c r="H95" s="1331">
        <f>H94+H93</f>
        <v>1551256383.89</v>
      </c>
      <c r="I95" s="1331"/>
      <c r="J95" s="46">
        <f>H95/D95*100</f>
        <v>58.29531615081817</v>
      </c>
      <c r="K95" s="102">
        <f>K93+K94</f>
        <v>1109774529.5999997</v>
      </c>
      <c r="L95" s="116"/>
      <c r="M95" s="117"/>
      <c r="N95" s="117"/>
      <c r="O95" s="117"/>
    </row>
    <row r="96" spans="1:15" s="98" customFormat="1" ht="18.75" customHeight="1">
      <c r="A96" s="536" t="s">
        <v>105</v>
      </c>
      <c r="B96" s="118"/>
      <c r="C96" s="118"/>
      <c r="D96" s="118"/>
      <c r="E96" s="118"/>
      <c r="F96" s="118"/>
      <c r="G96" s="118"/>
      <c r="H96" s="118"/>
      <c r="I96" s="118"/>
      <c r="J96" s="53"/>
      <c r="K96" s="118"/>
      <c r="L96" s="119"/>
      <c r="M96" s="117"/>
      <c r="N96" s="117"/>
      <c r="O96" s="117"/>
    </row>
    <row r="97" spans="1:15" s="98" customFormat="1" ht="27.75" customHeight="1">
      <c r="A97" s="1342" t="s">
        <v>106</v>
      </c>
      <c r="B97" s="1342"/>
      <c r="C97" s="1342"/>
      <c r="D97" s="1342"/>
      <c r="E97" s="1342"/>
      <c r="F97" s="1342"/>
      <c r="G97" s="1342"/>
      <c r="H97" s="1342"/>
      <c r="I97" s="1342"/>
      <c r="J97" s="1342"/>
      <c r="K97" s="1342"/>
      <c r="L97" s="116"/>
      <c r="M97" s="117"/>
      <c r="N97" s="117"/>
      <c r="O97" s="117"/>
    </row>
    <row r="98" spans="1:15" s="98" customFormat="1" ht="18.75" customHeight="1">
      <c r="A98" s="537" t="s">
        <v>107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6"/>
      <c r="M98" s="117"/>
      <c r="N98" s="117"/>
      <c r="O98" s="117"/>
    </row>
    <row r="99" spans="1:15" s="98" customFormat="1" ht="18.75" customHeight="1">
      <c r="A99" s="537" t="s">
        <v>108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7"/>
      <c r="M99" s="117"/>
      <c r="N99" s="117"/>
      <c r="O99" s="117"/>
    </row>
    <row r="100" spans="1:15" s="98" customFormat="1" ht="15.75" customHeight="1">
      <c r="A100" s="538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17"/>
      <c r="M100" s="117"/>
      <c r="N100" s="117"/>
      <c r="O100" s="117"/>
    </row>
    <row r="101" spans="1:15" s="37" customFormat="1" ht="15.75" customHeight="1">
      <c r="A101" s="712" t="s">
        <v>791</v>
      </c>
      <c r="B101" s="475"/>
      <c r="C101" s="846"/>
      <c r="D101" s="539"/>
      <c r="E101" s="539"/>
      <c r="F101" s="540"/>
      <c r="G101" s="541"/>
      <c r="H101" s="541"/>
      <c r="I101" s="541"/>
      <c r="J101" s="542"/>
      <c r="K101" s="542"/>
      <c r="M101" s="36"/>
      <c r="N101" s="36"/>
      <c r="O101" s="36"/>
    </row>
    <row r="102" spans="1:15" s="37" customFormat="1" ht="29.25" customHeight="1">
      <c r="A102" s="542"/>
      <c r="B102" s="542"/>
      <c r="C102" s="543"/>
      <c r="D102" s="543"/>
      <c r="E102" s="1071"/>
      <c r="F102" s="1073"/>
      <c r="G102" s="542"/>
      <c r="H102" s="543"/>
      <c r="I102" s="543"/>
      <c r="J102" s="542"/>
      <c r="K102" s="542"/>
      <c r="M102" s="36"/>
      <c r="N102" s="36"/>
      <c r="O102" s="36"/>
    </row>
    <row r="103" spans="1:15" s="37" customFormat="1" ht="15.75" customHeight="1">
      <c r="A103" s="121"/>
      <c r="B103" s="122"/>
      <c r="C103" s="2"/>
      <c r="D103" s="123"/>
      <c r="E103" s="2"/>
      <c r="F103" s="123"/>
      <c r="G103" s="2"/>
      <c r="H103" s="2"/>
      <c r="I103" s="2"/>
      <c r="J103" s="542"/>
      <c r="K103" s="542"/>
      <c r="M103" s="36"/>
      <c r="N103" s="36"/>
      <c r="O103" s="36"/>
    </row>
    <row r="104" spans="1:15" s="37" customFormat="1" ht="15.75" customHeight="1">
      <c r="A104" s="544"/>
      <c r="B104" s="544"/>
      <c r="C104" s="545"/>
      <c r="D104" s="2"/>
      <c r="E104" s="2"/>
      <c r="F104" s="546"/>
      <c r="G104" s="2"/>
      <c r="H104" s="2"/>
      <c r="I104" s="2"/>
      <c r="J104" s="542"/>
      <c r="K104" s="542"/>
      <c r="M104" s="36"/>
      <c r="N104" s="36"/>
      <c r="O104" s="36"/>
    </row>
    <row r="105" spans="1:15" s="37" customFormat="1" ht="15.75" customHeight="1">
      <c r="A105" s="547"/>
      <c r="B105" s="547"/>
      <c r="C105" s="547"/>
      <c r="D105" s="547"/>
      <c r="E105" s="542"/>
      <c r="F105" s="546"/>
      <c r="G105" s="2"/>
      <c r="H105" s="2"/>
      <c r="I105" s="2"/>
      <c r="J105" s="542"/>
      <c r="K105" s="548"/>
      <c r="M105" s="36"/>
      <c r="N105" s="36"/>
      <c r="O105" s="36"/>
    </row>
    <row r="106" spans="13:21" s="580" customFormat="1" ht="99.75" customHeight="1">
      <c r="M106" s="581"/>
      <c r="N106" s="581"/>
      <c r="O106" s="581"/>
      <c r="U106" s="581"/>
    </row>
    <row r="107" spans="6:11" ht="15.75" customHeight="1">
      <c r="F107" s="118"/>
      <c r="G107" s="118"/>
      <c r="H107" s="118"/>
      <c r="I107" s="118"/>
      <c r="J107" s="118"/>
      <c r="K107" s="118"/>
    </row>
    <row r="108" spans="6:11" ht="15.75" customHeight="1">
      <c r="F108" s="118"/>
      <c r="G108" s="118"/>
      <c r="H108" s="118"/>
      <c r="I108" s="118"/>
      <c r="J108" s="118"/>
      <c r="K108" s="118"/>
    </row>
    <row r="109" spans="6:11" ht="15.75" customHeight="1">
      <c r="F109" s="118"/>
      <c r="G109" s="118"/>
      <c r="H109" s="118"/>
      <c r="I109" s="118"/>
      <c r="J109" s="118"/>
      <c r="K109" s="118"/>
    </row>
    <row r="110" spans="6:11" ht="15.75" customHeight="1">
      <c r="F110" s="118"/>
      <c r="G110" s="118"/>
      <c r="H110" s="118"/>
      <c r="I110" s="118"/>
      <c r="J110" s="118"/>
      <c r="K110" s="118"/>
    </row>
  </sheetData>
  <sheetProtection/>
  <mergeCells count="124">
    <mergeCell ref="A66:C66"/>
    <mergeCell ref="A67:C67"/>
    <mergeCell ref="A68:C68"/>
    <mergeCell ref="A97:K97"/>
    <mergeCell ref="K69:K71"/>
    <mergeCell ref="G70:H70"/>
    <mergeCell ref="I70:I72"/>
    <mergeCell ref="H93:I93"/>
    <mergeCell ref="H94:I94"/>
    <mergeCell ref="H95:I95"/>
    <mergeCell ref="D59:E59"/>
    <mergeCell ref="G59:I59"/>
    <mergeCell ref="D60:E60"/>
    <mergeCell ref="G60:I60"/>
    <mergeCell ref="E69:F69"/>
    <mergeCell ref="G69:J69"/>
    <mergeCell ref="H66:J66"/>
    <mergeCell ref="H67:I67"/>
    <mergeCell ref="G54:I54"/>
    <mergeCell ref="G55:I55"/>
    <mergeCell ref="G56:I56"/>
    <mergeCell ref="D57:E57"/>
    <mergeCell ref="G57:I57"/>
    <mergeCell ref="D55:E55"/>
    <mergeCell ref="D56:E56"/>
    <mergeCell ref="D54:E54"/>
    <mergeCell ref="D49:E49"/>
    <mergeCell ref="G49:I49"/>
    <mergeCell ref="G50:I50"/>
    <mergeCell ref="G51:I51"/>
    <mergeCell ref="G52:I52"/>
    <mergeCell ref="G53:I53"/>
    <mergeCell ref="D52:E52"/>
    <mergeCell ref="D53:E53"/>
    <mergeCell ref="D50:E50"/>
    <mergeCell ref="D51:E51"/>
    <mergeCell ref="D46:E46"/>
    <mergeCell ref="G46:I46"/>
    <mergeCell ref="D47:E47"/>
    <mergeCell ref="G47:I47"/>
    <mergeCell ref="D48:E48"/>
    <mergeCell ref="G48:I48"/>
    <mergeCell ref="D43:E43"/>
    <mergeCell ref="G43:I43"/>
    <mergeCell ref="D44:E44"/>
    <mergeCell ref="G44:I44"/>
    <mergeCell ref="D45:E45"/>
    <mergeCell ref="G45:I45"/>
    <mergeCell ref="D40:E40"/>
    <mergeCell ref="G40:I40"/>
    <mergeCell ref="D41:E41"/>
    <mergeCell ref="G41:I41"/>
    <mergeCell ref="D42:E42"/>
    <mergeCell ref="G42:I42"/>
    <mergeCell ref="D37:E37"/>
    <mergeCell ref="G37:I37"/>
    <mergeCell ref="D38:E38"/>
    <mergeCell ref="G38:I38"/>
    <mergeCell ref="D39:E39"/>
    <mergeCell ref="G39:I39"/>
    <mergeCell ref="D34:E34"/>
    <mergeCell ref="G34:I34"/>
    <mergeCell ref="D35:E35"/>
    <mergeCell ref="G35:I35"/>
    <mergeCell ref="D36:E36"/>
    <mergeCell ref="G36:I36"/>
    <mergeCell ref="D31:E31"/>
    <mergeCell ref="G31:I31"/>
    <mergeCell ref="D32:E32"/>
    <mergeCell ref="G32:I32"/>
    <mergeCell ref="D33:E33"/>
    <mergeCell ref="G33:I33"/>
    <mergeCell ref="D28:E28"/>
    <mergeCell ref="G28:I28"/>
    <mergeCell ref="D29:E29"/>
    <mergeCell ref="G29:I29"/>
    <mergeCell ref="D30:E30"/>
    <mergeCell ref="G30:I30"/>
    <mergeCell ref="D25:E25"/>
    <mergeCell ref="G25:I25"/>
    <mergeCell ref="D26:E26"/>
    <mergeCell ref="G26:I26"/>
    <mergeCell ref="D27:E27"/>
    <mergeCell ref="G27:I27"/>
    <mergeCell ref="D23:E23"/>
    <mergeCell ref="G23:I23"/>
    <mergeCell ref="D24:E24"/>
    <mergeCell ref="G24:I24"/>
    <mergeCell ref="D21:E21"/>
    <mergeCell ref="D22:E22"/>
    <mergeCell ref="D19:E19"/>
    <mergeCell ref="G19:I19"/>
    <mergeCell ref="D20:E20"/>
    <mergeCell ref="G20:I20"/>
    <mergeCell ref="G21:I21"/>
    <mergeCell ref="G22:I22"/>
    <mergeCell ref="D16:E16"/>
    <mergeCell ref="G16:I16"/>
    <mergeCell ref="D17:E17"/>
    <mergeCell ref="G17:I17"/>
    <mergeCell ref="D18:E18"/>
    <mergeCell ref="G18:I18"/>
    <mergeCell ref="D13:E13"/>
    <mergeCell ref="G13:I13"/>
    <mergeCell ref="D14:E14"/>
    <mergeCell ref="G14:I14"/>
    <mergeCell ref="D15:E15"/>
    <mergeCell ref="G15:I15"/>
    <mergeCell ref="D10:E10"/>
    <mergeCell ref="G10:I10"/>
    <mergeCell ref="D11:E11"/>
    <mergeCell ref="G11:I11"/>
    <mergeCell ref="D12:E12"/>
    <mergeCell ref="G12:I12"/>
    <mergeCell ref="G58:I58"/>
    <mergeCell ref="G1:H1"/>
    <mergeCell ref="A4:F4"/>
    <mergeCell ref="D6:H6"/>
    <mergeCell ref="D7:E7"/>
    <mergeCell ref="G7:I7"/>
    <mergeCell ref="D8:E8"/>
    <mergeCell ref="G8:I8"/>
    <mergeCell ref="D9:E9"/>
    <mergeCell ref="G9:I9"/>
  </mergeCells>
  <printOptions horizontalCentered="1"/>
  <pageMargins left="0.1968503937007874" right="0.2755905511811024" top="0.7874015748031497" bottom="0.3937007874015748" header="0.5118110236220472" footer="0.5118110236220472"/>
  <pageSetup fitToHeight="0" fitToWidth="1" horizontalDpi="300" verticalDpi="300" orientation="portrait" paperSize="9" scale="41" r:id="rId4"/>
  <rowBreaks count="1" manualBreakCount="1">
    <brk id="61" max="255" man="1"/>
  </rowBreaks>
  <ignoredErrors>
    <ignoredError sqref="C18 C24 C42:D42 C30 D39 D78 C26 C15 J78:K78 J74 K90" 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9"/>
  <sheetViews>
    <sheetView showGridLines="0" tabSelected="1" zoomScaleSheetLayoutView="90" zoomScalePageLayoutView="0" workbookViewId="0" topLeftCell="A58">
      <selection activeCell="B62" sqref="B62:D63"/>
    </sheetView>
  </sheetViews>
  <sheetFormatPr defaultColWidth="0.9921875" defaultRowHeight="15" customHeight="1"/>
  <cols>
    <col min="1" max="1" width="73.57421875" style="125" customWidth="1"/>
    <col min="2" max="2" width="19.7109375" style="125" bestFit="1" customWidth="1"/>
    <col min="3" max="3" width="15.421875" style="387" customWidth="1"/>
    <col min="4" max="4" width="15.8515625" style="125" customWidth="1"/>
    <col min="5" max="5" width="17.00390625" style="125" customWidth="1"/>
    <col min="6" max="63" width="15.7109375" style="125" customWidth="1"/>
    <col min="64" max="16384" width="0.9921875" style="125" customWidth="1"/>
  </cols>
  <sheetData>
    <row r="1" spans="1:7" ht="15" customHeight="1">
      <c r="A1" s="1702" t="s">
        <v>545</v>
      </c>
      <c r="B1" s="1702"/>
      <c r="C1" s="1702"/>
      <c r="D1" s="1702"/>
      <c r="E1" s="1702"/>
      <c r="F1" s="388"/>
      <c r="G1" s="388"/>
    </row>
    <row r="2" spans="1:7" ht="15" customHeight="1">
      <c r="A2" s="1703" t="s">
        <v>546</v>
      </c>
      <c r="B2" s="1703"/>
      <c r="C2" s="1703"/>
      <c r="D2" s="1703"/>
      <c r="E2" s="1703"/>
      <c r="F2" s="389"/>
      <c r="G2" s="390"/>
    </row>
    <row r="3" spans="1:7" ht="15" customHeight="1">
      <c r="A3" s="1702" t="s">
        <v>2</v>
      </c>
      <c r="B3" s="1702"/>
      <c r="C3" s="1702"/>
      <c r="D3" s="1702"/>
      <c r="E3" s="1702"/>
      <c r="F3" s="391"/>
      <c r="G3" s="388"/>
    </row>
    <row r="4" spans="1:12" s="270" customFormat="1" ht="15.75" customHeight="1">
      <c r="A4" s="1589" t="str">
        <f>'Anexo I_BAL ORC'!A4</f>
        <v>Referência: JANEIRO-OUTUBRO/2012; BIMESTRE: SETEMBRO/OUTUBRO/2012</v>
      </c>
      <c r="B4" s="1589"/>
      <c r="C4" s="1701" t="str">
        <f>'Anexo X _ ENSINO'!E3</f>
        <v>Publicação: Diário Oficial do Município nº 227</v>
      </c>
      <c r="D4" s="1701"/>
      <c r="E4" s="1701"/>
      <c r="F4" s="476"/>
      <c r="G4" s="267"/>
      <c r="H4" s="267"/>
      <c r="I4" s="267"/>
      <c r="J4" s="267"/>
      <c r="K4" s="268"/>
      <c r="L4" s="269"/>
    </row>
    <row r="5" spans="1:12" s="270" customFormat="1" ht="12.75">
      <c r="A5" s="192"/>
      <c r="B5" s="192"/>
      <c r="C5" s="1701" t="str">
        <f>'Anexo X _ ENSINO'!E4</f>
        <v>Data: 26/11/2012</v>
      </c>
      <c r="D5" s="1701"/>
      <c r="E5" s="1701"/>
      <c r="F5" s="192"/>
      <c r="G5" s="267"/>
      <c r="H5" s="267"/>
      <c r="I5" s="267"/>
      <c r="J5" s="267"/>
      <c r="K5" s="268"/>
      <c r="L5" s="269"/>
    </row>
    <row r="6" spans="1:12" s="270" customFormat="1" ht="12.75" customHeight="1">
      <c r="A6" s="192"/>
      <c r="B6" s="192"/>
      <c r="C6" s="813"/>
      <c r="D6" s="813"/>
      <c r="E6" s="813"/>
      <c r="F6" s="192"/>
      <c r="G6" s="267"/>
      <c r="H6" s="267"/>
      <c r="I6" s="267"/>
      <c r="J6" s="267"/>
      <c r="K6" s="268"/>
      <c r="L6" s="269"/>
    </row>
    <row r="7" spans="1:6" ht="15" customHeight="1">
      <c r="A7" s="125" t="s">
        <v>683</v>
      </c>
      <c r="B7" s="392"/>
      <c r="E7" s="393" t="s">
        <v>661</v>
      </c>
      <c r="F7" s="155"/>
    </row>
    <row r="8" spans="1:6" ht="21" customHeight="1">
      <c r="A8" s="394" t="s">
        <v>547</v>
      </c>
      <c r="B8" s="1704" t="s">
        <v>548</v>
      </c>
      <c r="C8" s="1704"/>
      <c r="D8" s="1690" t="s">
        <v>437</v>
      </c>
      <c r="E8" s="1692"/>
      <c r="F8" s="155"/>
    </row>
    <row r="9" spans="1:6" ht="21" customHeight="1">
      <c r="A9" s="1206" t="s">
        <v>3</v>
      </c>
      <c r="B9" s="1690"/>
      <c r="C9" s="1691"/>
      <c r="D9" s="1690"/>
      <c r="E9" s="1692"/>
      <c r="F9" s="155"/>
    </row>
    <row r="10" spans="1:6" s="138" customFormat="1" ht="21" customHeight="1">
      <c r="A10" s="1206" t="s">
        <v>726</v>
      </c>
      <c r="B10" s="1705"/>
      <c r="C10" s="1693"/>
      <c r="D10" s="1706">
        <f>'Anexo I_BAL ORC'!B59</f>
        <v>2645637328</v>
      </c>
      <c r="E10" s="1697"/>
      <c r="F10" s="1210"/>
    </row>
    <row r="11" spans="1:6" s="138" customFormat="1" ht="21" customHeight="1">
      <c r="A11" s="1206" t="s">
        <v>727</v>
      </c>
      <c r="B11" s="1705"/>
      <c r="C11" s="1705"/>
      <c r="D11" s="1693">
        <f>'Anexo I_BAL ORC'!C59</f>
        <v>2661030913.49</v>
      </c>
      <c r="E11" s="1697"/>
      <c r="F11" s="1210"/>
    </row>
    <row r="12" spans="1:6" s="138" customFormat="1" ht="21" customHeight="1">
      <c r="A12" s="1206" t="s">
        <v>728</v>
      </c>
      <c r="B12" s="1705">
        <f>'Anexo I_BAL ORC'!D49</f>
        <v>275254959.45</v>
      </c>
      <c r="C12" s="1705"/>
      <c r="D12" s="1693">
        <f>'Anexo I_BAL ORC'!G49</f>
        <v>1551256383.89</v>
      </c>
      <c r="E12" s="1697"/>
      <c r="F12" s="1210"/>
    </row>
    <row r="13" spans="1:6" s="138" customFormat="1" ht="21" customHeight="1">
      <c r="A13" s="1206" t="s">
        <v>729</v>
      </c>
      <c r="B13" s="1208"/>
      <c r="C13" s="1209"/>
      <c r="D13" s="1693">
        <f>'Anexo I_BAL ORC'!G58</f>
        <v>0</v>
      </c>
      <c r="E13" s="1697"/>
      <c r="F13" s="1210"/>
    </row>
    <row r="14" spans="1:6" s="138" customFormat="1" ht="21" customHeight="1">
      <c r="A14" s="1211" t="s">
        <v>730</v>
      </c>
      <c r="B14" s="1707"/>
      <c r="C14" s="1707"/>
      <c r="D14" s="1708">
        <f>'Anexo I_BAL ORC'!G60</f>
        <v>0</v>
      </c>
      <c r="E14" s="1709"/>
      <c r="F14" s="1210"/>
    </row>
    <row r="15" spans="1:6" ht="21" customHeight="1">
      <c r="A15" s="1206" t="s">
        <v>71</v>
      </c>
      <c r="B15" s="1698"/>
      <c r="C15" s="1699"/>
      <c r="D15" s="1698"/>
      <c r="E15" s="1700"/>
      <c r="F15" s="155"/>
    </row>
    <row r="16" spans="1:6" s="138" customFormat="1" ht="21" customHeight="1">
      <c r="A16" s="1206" t="s">
        <v>738</v>
      </c>
      <c r="B16" s="1706"/>
      <c r="C16" s="1697"/>
      <c r="D16" s="1710">
        <f>'Anexo I_BAL ORC'!B95</f>
        <v>2645637328</v>
      </c>
      <c r="E16" s="1711"/>
      <c r="F16" s="1210"/>
    </row>
    <row r="17" spans="1:6" s="138" customFormat="1" ht="21" customHeight="1">
      <c r="A17" s="1206" t="s">
        <v>731</v>
      </c>
      <c r="B17" s="1693"/>
      <c r="C17" s="1693"/>
      <c r="D17" s="1693">
        <f>'Anexo I_BAL ORC'!C95</f>
        <v>15393585.48999998</v>
      </c>
      <c r="E17" s="1697"/>
      <c r="F17" s="1210"/>
    </row>
    <row r="18" spans="1:6" s="138" customFormat="1" ht="21" customHeight="1">
      <c r="A18" s="1206" t="s">
        <v>732</v>
      </c>
      <c r="B18" s="1693"/>
      <c r="C18" s="1693"/>
      <c r="D18" s="1693">
        <f>'Anexo I_BAL ORC'!D95</f>
        <v>2661030913.49</v>
      </c>
      <c r="E18" s="1711"/>
      <c r="F18" s="1210"/>
    </row>
    <row r="19" spans="1:6" s="138" customFormat="1" ht="21" customHeight="1">
      <c r="A19" s="1206" t="s">
        <v>733</v>
      </c>
      <c r="B19" s="1693">
        <f>'Anexo I_BAL ORC'!E85</f>
        <v>175442067.90000007</v>
      </c>
      <c r="C19" s="1693"/>
      <c r="D19" s="1693">
        <f>'Anexo I_BAL ORC'!F85</f>
        <v>1969746947.1699998</v>
      </c>
      <c r="E19" s="1711"/>
      <c r="F19" s="1210"/>
    </row>
    <row r="20" spans="1:6" s="138" customFormat="1" ht="21" customHeight="1">
      <c r="A20" s="1206" t="s">
        <v>745</v>
      </c>
      <c r="B20" s="1693">
        <f>'Anexo I_BAL ORC'!G85</f>
        <v>336060040.59999996</v>
      </c>
      <c r="C20" s="1693"/>
      <c r="D20" s="1693">
        <f>'Anexo I_BAL ORC'!H85</f>
        <v>1537732641.77</v>
      </c>
      <c r="E20" s="1693"/>
      <c r="F20" s="1210"/>
    </row>
    <row r="21" spans="1:5" s="138" customFormat="1" ht="21" customHeight="1">
      <c r="A21" s="1211" t="s">
        <v>734</v>
      </c>
      <c r="B21" s="1708"/>
      <c r="C21" s="1708"/>
      <c r="D21" s="1708">
        <f>'Anexo I_BAL ORC'!H94</f>
        <v>13523742.120000124</v>
      </c>
      <c r="E21" s="1709"/>
    </row>
    <row r="22" spans="1:5" ht="21" customHeight="1">
      <c r="A22" s="339"/>
      <c r="B22" s="339"/>
      <c r="C22" s="397"/>
      <c r="D22" s="397"/>
      <c r="E22" s="189"/>
    </row>
    <row r="23" spans="1:5" ht="21" customHeight="1">
      <c r="A23" s="141" t="s">
        <v>550</v>
      </c>
      <c r="B23" s="1704" t="s">
        <v>548</v>
      </c>
      <c r="C23" s="1704"/>
      <c r="D23" s="1712" t="s">
        <v>437</v>
      </c>
      <c r="E23" s="1713"/>
    </row>
    <row r="24" spans="1:5" s="138" customFormat="1" ht="21" customHeight="1">
      <c r="A24" s="403" t="s">
        <v>549</v>
      </c>
      <c r="B24" s="1714">
        <f>'Anexo II_DP FUNC'!E132</f>
        <v>175442067.90000004</v>
      </c>
      <c r="C24" s="1714"/>
      <c r="D24" s="1715">
        <f>'Anexo II_DP FUNC'!F132</f>
        <v>1969746947.17</v>
      </c>
      <c r="E24" s="1716"/>
    </row>
    <row r="25" spans="1:5" s="138" customFormat="1" ht="21" customHeight="1">
      <c r="A25" s="403" t="s">
        <v>735</v>
      </c>
      <c r="B25" s="1693">
        <f>B26+B27</f>
        <v>336060040.6</v>
      </c>
      <c r="C25" s="1694"/>
      <c r="D25" s="1693">
        <f>D26+D27</f>
        <v>1537732641.77</v>
      </c>
      <c r="E25" s="1697"/>
    </row>
    <row r="26" spans="1:5" ht="21" customHeight="1">
      <c r="A26" s="1206" t="s">
        <v>736</v>
      </c>
      <c r="B26" s="1706">
        <f>'Anexo II_DP FUNC'!G132</f>
        <v>336060040.6</v>
      </c>
      <c r="C26" s="1697"/>
      <c r="D26" s="1710">
        <f>'Anexo II_DP FUNC'!H132</f>
        <v>1537732641.77</v>
      </c>
      <c r="E26" s="1697"/>
    </row>
    <row r="27" spans="1:5" ht="21" customHeight="1">
      <c r="A27" s="1234" t="s">
        <v>737</v>
      </c>
      <c r="B27" s="1695">
        <f>'Anexo II_DP FUNC'!I132</f>
        <v>0</v>
      </c>
      <c r="C27" s="1696"/>
      <c r="D27" s="1695">
        <f>'Anexo II_DP FUNC'!I132</f>
        <v>0</v>
      </c>
      <c r="E27" s="1696"/>
    </row>
    <row r="28" spans="1:5" ht="21" customHeight="1">
      <c r="A28" s="339"/>
      <c r="B28" s="339"/>
      <c r="C28" s="400"/>
      <c r="D28" s="397"/>
      <c r="E28" s="401"/>
    </row>
    <row r="29" spans="1:5" ht="21" customHeight="1">
      <c r="A29" s="394" t="s">
        <v>551</v>
      </c>
      <c r="B29" s="1717"/>
      <c r="C29" s="1717"/>
      <c r="D29" s="1712" t="s">
        <v>552</v>
      </c>
      <c r="E29" s="1713"/>
    </row>
    <row r="30" spans="1:5" s="138" customFormat="1" ht="21" customHeight="1">
      <c r="A30" s="1212" t="s">
        <v>553</v>
      </c>
      <c r="B30" s="1718"/>
      <c r="C30" s="1718"/>
      <c r="D30" s="1719">
        <f>'Anexo III _ RCL'!P34</f>
        <v>1854124311.19</v>
      </c>
      <c r="E30" s="1720"/>
    </row>
    <row r="31" spans="1:5" ht="21" customHeight="1">
      <c r="A31" s="339"/>
      <c r="B31" s="339"/>
      <c r="C31" s="397"/>
      <c r="D31" s="397"/>
      <c r="E31" s="189"/>
    </row>
    <row r="32" spans="1:5" ht="21" customHeight="1">
      <c r="A32" s="141" t="s">
        <v>554</v>
      </c>
      <c r="B32" s="1704" t="s">
        <v>548</v>
      </c>
      <c r="C32" s="1704"/>
      <c r="D32" s="1712" t="s">
        <v>437</v>
      </c>
      <c r="E32" s="1713"/>
    </row>
    <row r="33" spans="1:5" s="124" customFormat="1" ht="21" customHeight="1">
      <c r="A33" s="403" t="s">
        <v>555</v>
      </c>
      <c r="B33" s="1721"/>
      <c r="C33" s="1721"/>
      <c r="D33" s="1721"/>
      <c r="E33" s="1722"/>
    </row>
    <row r="34" spans="1:5" ht="21" customHeight="1">
      <c r="A34" s="398" t="s">
        <v>739</v>
      </c>
      <c r="B34" s="1723"/>
      <c r="C34" s="1723"/>
      <c r="D34" s="1724"/>
      <c r="E34" s="1725"/>
    </row>
    <row r="35" spans="1:5" ht="21" customHeight="1">
      <c r="A35" s="398" t="s">
        <v>740</v>
      </c>
      <c r="B35" s="1723"/>
      <c r="C35" s="1723"/>
      <c r="D35" s="1724"/>
      <c r="E35" s="1725"/>
    </row>
    <row r="36" spans="1:5" ht="21" customHeight="1">
      <c r="A36" s="398" t="s">
        <v>741</v>
      </c>
      <c r="B36" s="1727"/>
      <c r="C36" s="1728"/>
      <c r="D36" s="1723"/>
      <c r="E36" s="1726"/>
    </row>
    <row r="37" spans="1:5" ht="21" customHeight="1">
      <c r="A37" s="405" t="s">
        <v>556</v>
      </c>
      <c r="B37" s="1721"/>
      <c r="C37" s="1721"/>
      <c r="D37" s="1721"/>
      <c r="E37" s="1722"/>
    </row>
    <row r="38" spans="1:5" ht="21" customHeight="1">
      <c r="A38" s="398" t="s">
        <v>742</v>
      </c>
      <c r="B38" s="1723">
        <f>'Anexo V _ PREVID '!D38</f>
        <v>411347.5400000027</v>
      </c>
      <c r="C38" s="1723"/>
      <c r="D38" s="1723">
        <f>'Anexo V _ PREVID '!F38</f>
        <v>86351476.4</v>
      </c>
      <c r="E38" s="1726"/>
    </row>
    <row r="39" spans="1:5" s="138" customFormat="1" ht="21" customHeight="1">
      <c r="A39" s="398" t="s">
        <v>746</v>
      </c>
      <c r="B39" s="1723">
        <f>'Anexo V _ PREVID '!D61</f>
        <v>22339738.719999995</v>
      </c>
      <c r="C39" s="1723"/>
      <c r="D39" s="1723">
        <f>'Anexo V _ PREVID '!F61</f>
        <v>108571456.31</v>
      </c>
      <c r="E39" s="1726"/>
    </row>
    <row r="40" spans="1:5" ht="21" customHeight="1">
      <c r="A40" s="399" t="s">
        <v>743</v>
      </c>
      <c r="B40" s="1729">
        <f>B38-B39</f>
        <v>-21928391.179999992</v>
      </c>
      <c r="C40" s="1729"/>
      <c r="D40" s="1729">
        <f>D38-D39</f>
        <v>-22219979.909999996</v>
      </c>
      <c r="E40" s="1730"/>
    </row>
    <row r="41" spans="1:5" ht="21" customHeight="1">
      <c r="A41" s="189"/>
      <c r="B41" s="189"/>
      <c r="C41" s="404"/>
      <c r="D41" s="189"/>
      <c r="E41" s="406"/>
    </row>
    <row r="42" spans="1:5" ht="39" customHeight="1">
      <c r="A42" s="1731" t="s">
        <v>557</v>
      </c>
      <c r="B42" s="407" t="s">
        <v>558</v>
      </c>
      <c r="C42" s="408" t="s">
        <v>559</v>
      </c>
      <c r="D42" s="1690" t="s">
        <v>560</v>
      </c>
      <c r="E42" s="1732"/>
    </row>
    <row r="43" spans="1:5" ht="29.25" customHeight="1">
      <c r="A43" s="1731"/>
      <c r="B43" s="409" t="s">
        <v>125</v>
      </c>
      <c r="C43" s="410" t="s">
        <v>126</v>
      </c>
      <c r="D43" s="1733" t="s">
        <v>127</v>
      </c>
      <c r="E43" s="1734"/>
    </row>
    <row r="44" spans="1:5" s="138" customFormat="1" ht="21" customHeight="1">
      <c r="A44" s="1213" t="s">
        <v>561</v>
      </c>
      <c r="B44" s="1214">
        <f>'Anexo VI _ RES NOM'!E28</f>
        <v>-10101000</v>
      </c>
      <c r="C44" s="415">
        <f>'Anexo VI _ RES NOM'!E24</f>
        <v>-263747412.95000005</v>
      </c>
      <c r="D44" s="1735">
        <f>(C44/B44)*100</f>
        <v>2611.101999307</v>
      </c>
      <c r="E44" s="1736"/>
    </row>
    <row r="45" spans="1:5" s="138" customFormat="1" ht="21" customHeight="1">
      <c r="A45" s="1211" t="s">
        <v>562</v>
      </c>
      <c r="B45" s="1215">
        <f>'Anexo VII _ RES PRIM'!D67</f>
        <v>12776810</v>
      </c>
      <c r="C45" s="1216">
        <f>'Anexo VII _ RES PRIM'!D61</f>
        <v>-2324468.239999771</v>
      </c>
      <c r="D45" s="1737">
        <f>(C45/B45)*100</f>
        <v>-18.19286848595049</v>
      </c>
      <c r="E45" s="1738"/>
    </row>
    <row r="46" spans="1:5" ht="21" customHeight="1">
      <c r="A46" s="189"/>
      <c r="B46" s="189"/>
      <c r="C46" s="404"/>
      <c r="D46" s="189"/>
      <c r="E46" s="189"/>
    </row>
    <row r="47" spans="1:5" ht="33" customHeight="1">
      <c r="A47" s="141" t="s">
        <v>563</v>
      </c>
      <c r="B47" s="402" t="s">
        <v>564</v>
      </c>
      <c r="C47" s="395" t="s">
        <v>413</v>
      </c>
      <c r="D47" s="395" t="s">
        <v>414</v>
      </c>
      <c r="E47" s="1197" t="s">
        <v>565</v>
      </c>
    </row>
    <row r="48" spans="1:5" ht="21" customHeight="1">
      <c r="A48" s="403" t="s">
        <v>566</v>
      </c>
      <c r="B48" s="411"/>
      <c r="C48" s="409"/>
      <c r="D48" s="409"/>
      <c r="E48" s="1195">
        <f>B48-D48</f>
        <v>0</v>
      </c>
    </row>
    <row r="49" spans="1:5" s="138" customFormat="1" ht="21" customHeight="1">
      <c r="A49" s="403" t="s">
        <v>567</v>
      </c>
      <c r="B49" s="843">
        <f>B50+B51</f>
        <v>285143321.7200001</v>
      </c>
      <c r="C49" s="843">
        <f>C50+C51</f>
        <v>1288192.7999999998</v>
      </c>
      <c r="D49" s="843">
        <f>D50+D51</f>
        <v>208660617.19</v>
      </c>
      <c r="E49" s="1204">
        <f>E50+E51</f>
        <v>75194511.73000008</v>
      </c>
    </row>
    <row r="50" spans="1:5" ht="21" customHeight="1">
      <c r="A50" s="398" t="s">
        <v>568</v>
      </c>
      <c r="B50" s="412">
        <f>'Anexo IX _ RP'!C14+'Anexo IX _ RP'!B14</f>
        <v>284452914.0500001</v>
      </c>
      <c r="C50" s="413">
        <f>'Anexo IX _ RP'!E14</f>
        <v>1288192.7999999998</v>
      </c>
      <c r="D50" s="413">
        <f>'Anexo IX _ RP'!D14</f>
        <v>208660617.19</v>
      </c>
      <c r="E50" s="1195">
        <f>B50-D50-C50</f>
        <v>74504104.06000008</v>
      </c>
    </row>
    <row r="51" spans="1:5" ht="21" customHeight="1">
      <c r="A51" s="398" t="s">
        <v>569</v>
      </c>
      <c r="B51" s="412">
        <f>'Anexo IX _ RP'!C12+'Anexo IX _ RP'!B12</f>
        <v>690407.67</v>
      </c>
      <c r="C51" s="413">
        <f>'Anexo IX _ RP'!E12</f>
        <v>0</v>
      </c>
      <c r="D51" s="413">
        <f>'Anexo IX _ RP'!D12</f>
        <v>0</v>
      </c>
      <c r="E51" s="1195">
        <f>B51-D51</f>
        <v>690407.67</v>
      </c>
    </row>
    <row r="52" spans="1:5" s="138" customFormat="1" ht="21" customHeight="1">
      <c r="A52" s="403" t="s">
        <v>570</v>
      </c>
      <c r="B52" s="843">
        <f>B53+B54</f>
        <v>234537383.31999996</v>
      </c>
      <c r="C52" s="843">
        <f>C53+C54</f>
        <v>48561.51</v>
      </c>
      <c r="D52" s="843">
        <f>D53+D54</f>
        <v>39598537.25</v>
      </c>
      <c r="E52" s="1204">
        <f>E53+E54</f>
        <v>194890284.55999997</v>
      </c>
    </row>
    <row r="53" spans="1:5" ht="21" customHeight="1">
      <c r="A53" s="398" t="s">
        <v>568</v>
      </c>
      <c r="B53" s="412">
        <f>'Anexo IX _ RP'!G14+'Anexo IX _ RP'!H14</f>
        <v>234440566.36999997</v>
      </c>
      <c r="C53" s="413">
        <f>'Anexo IX _ RP'!K14</f>
        <v>48561.51</v>
      </c>
      <c r="D53" s="412">
        <f>'Anexo IX _ RP'!J14</f>
        <v>39598537.25</v>
      </c>
      <c r="E53" s="1195">
        <f>B53-D53-C53</f>
        <v>194793467.60999998</v>
      </c>
    </row>
    <row r="54" spans="1:6" ht="21" customHeight="1">
      <c r="A54" s="398" t="s">
        <v>569</v>
      </c>
      <c r="B54" s="412">
        <f>'Anexo IX _ RP'!G12+'Anexo IX _ RP'!H12</f>
        <v>96816.94999999995</v>
      </c>
      <c r="C54" s="413">
        <f>'Anexo IX _ RP'!K12</f>
        <v>0</v>
      </c>
      <c r="D54" s="412">
        <f>'Anexo IX _ RP'!J12</f>
        <v>0</v>
      </c>
      <c r="E54" s="1195">
        <f>B54-D54-C54</f>
        <v>96816.94999999995</v>
      </c>
      <c r="F54" s="1078"/>
    </row>
    <row r="55" spans="1:5" ht="21" customHeight="1">
      <c r="A55" s="414" t="s">
        <v>433</v>
      </c>
      <c r="B55" s="415">
        <f>B49+B52</f>
        <v>519680705.0400001</v>
      </c>
      <c r="C55" s="415">
        <f>C49+C52</f>
        <v>1336754.3099999998</v>
      </c>
      <c r="D55" s="416">
        <f>D49+D52</f>
        <v>248259154.44</v>
      </c>
      <c r="E55" s="1205">
        <f>E49+E52</f>
        <v>270084796.2900001</v>
      </c>
    </row>
    <row r="56" spans="1:6" ht="21" customHeight="1">
      <c r="A56" s="1739"/>
      <c r="B56" s="1739"/>
      <c r="C56" s="404"/>
      <c r="D56" s="417"/>
      <c r="E56" s="417"/>
      <c r="F56" s="155"/>
    </row>
    <row r="57" spans="1:7" ht="15" customHeight="1">
      <c r="A57" s="1702" t="s">
        <v>545</v>
      </c>
      <c r="B57" s="1702"/>
      <c r="C57" s="1702"/>
      <c r="D57" s="1702"/>
      <c r="E57" s="1702"/>
      <c r="F57" s="388"/>
      <c r="G57" s="388"/>
    </row>
    <row r="58" spans="1:7" ht="15" customHeight="1">
      <c r="A58" s="1703" t="s">
        <v>546</v>
      </c>
      <c r="B58" s="1703"/>
      <c r="C58" s="1703"/>
      <c r="D58" s="1703"/>
      <c r="E58" s="1703"/>
      <c r="F58" s="389"/>
      <c r="G58" s="390"/>
    </row>
    <row r="59" spans="1:7" ht="15" customHeight="1">
      <c r="A59" s="1702" t="s">
        <v>2</v>
      </c>
      <c r="B59" s="1702"/>
      <c r="C59" s="1702"/>
      <c r="D59" s="1702"/>
      <c r="E59" s="1702"/>
      <c r="F59" s="391"/>
      <c r="G59" s="388"/>
    </row>
    <row r="60" spans="1:12" s="270" customFormat="1" ht="15.75" customHeight="1">
      <c r="A60" s="1474" t="str">
        <f>A4</f>
        <v>Referência: JANEIRO-OUTUBRO/2012; BIMESTRE: SETEMBRO/OUTUBRO/2012</v>
      </c>
      <c r="B60" s="1474"/>
      <c r="C60" s="1474"/>
      <c r="D60" s="1474"/>
      <c r="E60" s="1474"/>
      <c r="F60" s="1474"/>
      <c r="G60" s="267"/>
      <c r="H60" s="267"/>
      <c r="I60" s="267"/>
      <c r="J60" s="267"/>
      <c r="K60" s="268"/>
      <c r="L60" s="269"/>
    </row>
    <row r="61" spans="1:7" ht="15" customHeight="1">
      <c r="A61" s="1740"/>
      <c r="B61" s="1740"/>
      <c r="C61" s="1740"/>
      <c r="D61" s="1740"/>
      <c r="E61" s="1740"/>
      <c r="F61" s="391"/>
      <c r="G61" s="388"/>
    </row>
    <row r="62" spans="1:6" ht="15" customHeight="1">
      <c r="A62" s="188"/>
      <c r="B62" s="904" t="str">
        <f>C4</f>
        <v>Publicação: Diário Oficial do Município nº 227</v>
      </c>
      <c r="C62" s="418"/>
      <c r="D62" s="419"/>
      <c r="E62" s="355"/>
      <c r="F62" s="155"/>
    </row>
    <row r="63" spans="1:6" ht="15" customHeight="1">
      <c r="A63" s="188" t="s">
        <v>684</v>
      </c>
      <c r="B63" s="905"/>
      <c r="C63" s="404" t="str">
        <f>C5</f>
        <v>Data: 26/11/2012</v>
      </c>
      <c r="D63" s="189"/>
      <c r="E63" s="889" t="s">
        <v>662</v>
      </c>
      <c r="F63" s="155"/>
    </row>
    <row r="64" spans="1:6" ht="15" customHeight="1">
      <c r="A64" s="1741" t="s">
        <v>571</v>
      </c>
      <c r="B64" s="396" t="s">
        <v>572</v>
      </c>
      <c r="C64" s="1712" t="s">
        <v>573</v>
      </c>
      <c r="D64" s="1712"/>
      <c r="E64" s="1713"/>
      <c r="F64" s="155"/>
    </row>
    <row r="65" spans="1:6" ht="25.5" customHeight="1">
      <c r="A65" s="1741"/>
      <c r="B65" s="420" t="s">
        <v>574</v>
      </c>
      <c r="C65" s="853" t="s">
        <v>630</v>
      </c>
      <c r="D65" s="1712" t="s">
        <v>744</v>
      </c>
      <c r="E65" s="1713"/>
      <c r="F65" s="155"/>
    </row>
    <row r="66" spans="1:6" ht="21" customHeight="1">
      <c r="A66" s="398" t="s">
        <v>721</v>
      </c>
      <c r="B66" s="413">
        <f>'Anexo X _ ENSINO'!E149</f>
        <v>247728863.152</v>
      </c>
      <c r="C66" s="421" t="s">
        <v>723</v>
      </c>
      <c r="D66" s="1742">
        <f>B66/'Anexo X _ ENSINO'!E53*100</f>
        <v>23.29438058392716</v>
      </c>
      <c r="E66" s="1743"/>
      <c r="F66" s="155"/>
    </row>
    <row r="67" spans="1:6" ht="21" customHeight="1">
      <c r="A67" s="398" t="s">
        <v>722</v>
      </c>
      <c r="B67" s="413">
        <f>'Anexo X _ ENSINO'!E130</f>
        <v>232546257.83</v>
      </c>
      <c r="C67" s="421">
        <v>0.6</v>
      </c>
      <c r="D67" s="1742">
        <f>B67/'Anexo X _ ENSINO'!E137*100</f>
        <v>87.3833426074392</v>
      </c>
      <c r="E67" s="1743"/>
      <c r="F67" s="155"/>
    </row>
    <row r="68" spans="1:6" ht="21" customHeight="1">
      <c r="A68" s="339" t="s">
        <v>719</v>
      </c>
      <c r="B68" s="1218">
        <f>'Anexo X _ ENSINO'!E102</f>
        <v>130425982.76</v>
      </c>
      <c r="C68" s="422">
        <v>0.6</v>
      </c>
      <c r="D68" s="1756">
        <f>B68/'Anexo X _ ENSINO'!E80*100</f>
        <v>75.03637687669912</v>
      </c>
      <c r="E68" s="1757"/>
      <c r="F68" s="155"/>
    </row>
    <row r="69" spans="1:6" ht="21" customHeight="1">
      <c r="A69" s="1207" t="s">
        <v>720</v>
      </c>
      <c r="B69" s="1217">
        <f>'Anexo X _ ENSINO'!E142</f>
        <v>62344464.73</v>
      </c>
      <c r="C69" s="1219">
        <v>0.1</v>
      </c>
      <c r="D69" s="1758">
        <f>B69/'Anexo X _ ENSINO'!E82*100</f>
        <v>74.54819604051549</v>
      </c>
      <c r="E69" s="1759"/>
      <c r="F69" s="155"/>
    </row>
    <row r="70" spans="1:6" ht="18.75" customHeight="1">
      <c r="A70" s="339"/>
      <c r="B70" s="339"/>
      <c r="C70" s="422"/>
      <c r="D70" s="423"/>
      <c r="E70" s="423"/>
      <c r="F70" s="155"/>
    </row>
    <row r="71" spans="1:6" s="288" customFormat="1" ht="21" customHeight="1">
      <c r="A71" s="424" t="s">
        <v>575</v>
      </c>
      <c r="B71" s="1744" t="s">
        <v>576</v>
      </c>
      <c r="C71" s="1744"/>
      <c r="D71" s="1745" t="s">
        <v>577</v>
      </c>
      <c r="E71" s="1746"/>
      <c r="F71" s="426"/>
    </row>
    <row r="72" spans="1:6" s="288" customFormat="1" ht="21" customHeight="1">
      <c r="A72" s="427" t="s">
        <v>578</v>
      </c>
      <c r="B72" s="1753"/>
      <c r="C72" s="1754"/>
      <c r="D72" s="1753"/>
      <c r="E72" s="1755"/>
      <c r="F72" s="426"/>
    </row>
    <row r="73" spans="1:6" s="288" customFormat="1" ht="21" customHeight="1">
      <c r="A73" s="428" t="s">
        <v>579</v>
      </c>
      <c r="B73" s="1760"/>
      <c r="C73" s="1761"/>
      <c r="D73" s="1751"/>
      <c r="E73" s="1752"/>
      <c r="F73" s="426"/>
    </row>
    <row r="74" spans="1:6" s="288" customFormat="1" ht="21" customHeight="1">
      <c r="A74" s="429"/>
      <c r="B74" s="429"/>
      <c r="C74" s="430"/>
      <c r="D74" s="442"/>
      <c r="E74" s="1202"/>
      <c r="F74" s="426"/>
    </row>
    <row r="75" spans="1:6" s="288" customFormat="1" ht="21" customHeight="1">
      <c r="A75" s="431" t="s">
        <v>580</v>
      </c>
      <c r="B75" s="425" t="s">
        <v>581</v>
      </c>
      <c r="C75" s="432" t="s">
        <v>582</v>
      </c>
      <c r="D75" s="425" t="s">
        <v>583</v>
      </c>
      <c r="E75" s="1203" t="s">
        <v>584</v>
      </c>
      <c r="F75" s="426"/>
    </row>
    <row r="76" spans="1:6" s="287" customFormat="1" ht="21" customHeight="1">
      <c r="A76" s="893" t="s">
        <v>555</v>
      </c>
      <c r="B76" s="1226"/>
      <c r="C76" s="1227"/>
      <c r="D76" s="1228"/>
      <c r="E76" s="1229"/>
      <c r="F76" s="894"/>
    </row>
    <row r="77" spans="1:6" s="288" customFormat="1" ht="21" customHeight="1">
      <c r="A77" s="433" t="s">
        <v>585</v>
      </c>
      <c r="B77" s="435"/>
      <c r="C77" s="436"/>
      <c r="D77" s="434"/>
      <c r="E77" s="1198"/>
      <c r="F77" s="426"/>
    </row>
    <row r="78" spans="1:6" s="288" customFormat="1" ht="21" customHeight="1">
      <c r="A78" s="433" t="s">
        <v>586</v>
      </c>
      <c r="B78" s="437"/>
      <c r="C78" s="436"/>
      <c r="D78" s="434"/>
      <c r="E78" s="1198"/>
      <c r="F78" s="426"/>
    </row>
    <row r="79" spans="1:6" s="288" customFormat="1" ht="21" customHeight="1">
      <c r="A79" s="433" t="s">
        <v>747</v>
      </c>
      <c r="B79" s="435">
        <f>B77-B78</f>
        <v>0</v>
      </c>
      <c r="C79" s="435">
        <f>C77-C78</f>
        <v>0</v>
      </c>
      <c r="D79" s="1220">
        <f>D77-D78</f>
        <v>0</v>
      </c>
      <c r="E79" s="1221">
        <f>E77-E78</f>
        <v>0</v>
      </c>
      <c r="F79" s="426"/>
    </row>
    <row r="80" spans="1:6" s="287" customFormat="1" ht="21" customHeight="1">
      <c r="A80" s="893" t="s">
        <v>556</v>
      </c>
      <c r="B80" s="1222"/>
      <c r="C80" s="1223"/>
      <c r="D80" s="1224"/>
      <c r="E80" s="1225"/>
      <c r="F80" s="894"/>
    </row>
    <row r="81" spans="1:6" s="288" customFormat="1" ht="21" customHeight="1">
      <c r="A81" s="433" t="s">
        <v>587</v>
      </c>
      <c r="B81" s="438">
        <f>'Anexo V _ PREVID '!F38</f>
        <v>86351476.4</v>
      </c>
      <c r="C81" s="438"/>
      <c r="D81" s="439"/>
      <c r="E81" s="1199"/>
      <c r="F81" s="426"/>
    </row>
    <row r="82" spans="1:6" s="288" customFormat="1" ht="21" customHeight="1">
      <c r="A82" s="433" t="s">
        <v>588</v>
      </c>
      <c r="B82" s="438">
        <f>'Anexo V _ PREVID '!F61</f>
        <v>108571456.31</v>
      </c>
      <c r="C82" s="438"/>
      <c r="D82" s="439"/>
      <c r="E82" s="1199"/>
      <c r="F82" s="426"/>
    </row>
    <row r="83" spans="1:6" s="287" customFormat="1" ht="21" customHeight="1">
      <c r="A83" s="1230" t="s">
        <v>748</v>
      </c>
      <c r="B83" s="1231">
        <f>B81-B82</f>
        <v>-22219979.909999996</v>
      </c>
      <c r="C83" s="1231">
        <f>C81-C82</f>
        <v>0</v>
      </c>
      <c r="D83" s="1231">
        <f>D81-D82</f>
        <v>0</v>
      </c>
      <c r="E83" s="1200">
        <f>E81-E82</f>
        <v>0</v>
      </c>
      <c r="F83" s="894"/>
    </row>
    <row r="84" spans="1:6" s="288" customFormat="1" ht="15" customHeight="1">
      <c r="A84" s="440"/>
      <c r="B84" s="440"/>
      <c r="C84" s="441"/>
      <c r="D84" s="442"/>
      <c r="E84" s="1202"/>
      <c r="F84" s="426"/>
    </row>
    <row r="85" spans="1:6" s="287" customFormat="1" ht="21" customHeight="1">
      <c r="A85" s="1232" t="s">
        <v>589</v>
      </c>
      <c r="B85" s="1747" t="s">
        <v>576</v>
      </c>
      <c r="C85" s="1747"/>
      <c r="D85" s="1748" t="s">
        <v>577</v>
      </c>
      <c r="E85" s="1749"/>
      <c r="F85" s="894"/>
    </row>
    <row r="86" spans="1:6" s="288" customFormat="1" ht="21" customHeight="1">
      <c r="A86" s="433" t="s">
        <v>590</v>
      </c>
      <c r="B86" s="1753"/>
      <c r="C86" s="1754"/>
      <c r="D86" s="1753"/>
      <c r="E86" s="1755"/>
      <c r="F86" s="426"/>
    </row>
    <row r="87" spans="1:6" s="288" customFormat="1" ht="21" customHeight="1">
      <c r="A87" s="428" t="s">
        <v>591</v>
      </c>
      <c r="B87" s="1751"/>
      <c r="C87" s="1764"/>
      <c r="D87" s="1751"/>
      <c r="E87" s="1752"/>
      <c r="F87" s="426"/>
    </row>
    <row r="88" spans="1:6" s="288" customFormat="1" ht="21" customHeight="1">
      <c r="A88" s="442"/>
      <c r="B88" s="440"/>
      <c r="C88" s="585"/>
      <c r="D88" s="441"/>
      <c r="E88" s="1201"/>
      <c r="F88" s="426"/>
    </row>
    <row r="89" spans="1:6" s="287" customFormat="1" ht="21" customHeight="1">
      <c r="A89" s="1765" t="s">
        <v>604</v>
      </c>
      <c r="B89" s="1750" t="s">
        <v>576</v>
      </c>
      <c r="C89" s="1747"/>
      <c r="D89" s="1748" t="s">
        <v>577</v>
      </c>
      <c r="E89" s="1749"/>
      <c r="F89" s="894"/>
    </row>
    <row r="90" spans="1:6" s="287" customFormat="1" ht="21" customHeight="1">
      <c r="A90" s="1766"/>
      <c r="B90" s="1767" t="e">
        <f>#REF!</f>
        <v>#REF!</v>
      </c>
      <c r="C90" s="1768"/>
      <c r="D90" s="1769" t="e">
        <f>#REF!-#REF!</f>
        <v>#REF!</v>
      </c>
      <c r="E90" s="1770"/>
      <c r="F90" s="894"/>
    </row>
    <row r="91" spans="1:6" s="288" customFormat="1" ht="21" customHeight="1">
      <c r="A91" s="440"/>
      <c r="B91" s="443"/>
      <c r="C91" s="444"/>
      <c r="D91" s="443"/>
      <c r="E91" s="443"/>
      <c r="F91" s="426"/>
    </row>
    <row r="92" spans="1:6" s="287" customFormat="1" ht="21" customHeight="1">
      <c r="A92" s="1233" t="s">
        <v>592</v>
      </c>
      <c r="B92" s="1748" t="s">
        <v>593</v>
      </c>
      <c r="C92" s="1748"/>
      <c r="D92" s="1748"/>
      <c r="E92" s="1771"/>
      <c r="F92" s="894"/>
    </row>
    <row r="93" spans="1:6" s="288" customFormat="1" ht="21" customHeight="1">
      <c r="A93" s="445" t="s">
        <v>594</v>
      </c>
      <c r="B93" s="1745"/>
      <c r="C93" s="1762"/>
      <c r="D93" s="1762"/>
      <c r="E93" s="1763"/>
      <c r="F93" s="426"/>
    </row>
    <row r="94" spans="1:4" ht="9.75" customHeight="1">
      <c r="A94" s="446"/>
      <c r="C94" s="1739"/>
      <c r="D94" s="1739"/>
    </row>
    <row r="95" spans="1:6" s="276" customFormat="1" ht="15" customHeight="1">
      <c r="A95" s="266"/>
      <c r="B95" s="381"/>
      <c r="C95" s="272"/>
      <c r="D95" s="272"/>
      <c r="E95" s="381"/>
      <c r="F95" s="382"/>
    </row>
    <row r="96" spans="1:6" s="276" customFormat="1" ht="12.75" customHeight="1">
      <c r="A96" s="584" t="str">
        <f>'Anexo VII _ RES PRIM'!A69</f>
        <v>  São Luís, 26 de Novembro de 2012</v>
      </c>
      <c r="B96" s="381"/>
      <c r="C96" s="381"/>
      <c r="D96" s="381"/>
      <c r="E96" s="381"/>
      <c r="F96" s="382"/>
    </row>
    <row r="97" spans="1:6" s="276" customFormat="1" ht="12.75" customHeight="1">
      <c r="A97" s="386"/>
      <c r="B97" s="381"/>
      <c r="C97" s="381"/>
      <c r="D97" s="381"/>
      <c r="E97" s="381"/>
      <c r="F97" s="382"/>
    </row>
    <row r="98" spans="1:6" s="276" customFormat="1" ht="12.75" customHeight="1">
      <c r="A98" s="386"/>
      <c r="B98" s="381"/>
      <c r="C98" s="381"/>
      <c r="D98" s="381"/>
      <c r="E98" s="381"/>
      <c r="F98" s="382"/>
    </row>
    <row r="99" spans="1:6" s="276" customFormat="1" ht="12.75" customHeight="1">
      <c r="A99" s="280"/>
      <c r="B99" s="281"/>
      <c r="C99" s="122"/>
      <c r="D99" s="122"/>
      <c r="E99" s="122"/>
      <c r="F99" s="203"/>
    </row>
    <row r="114" ht="10.5" customHeight="1"/>
    <row r="115" ht="33.75" customHeight="1"/>
  </sheetData>
  <sheetProtection/>
  <mergeCells count="103">
    <mergeCell ref="B93:E93"/>
    <mergeCell ref="B87:C87"/>
    <mergeCell ref="D87:E87"/>
    <mergeCell ref="A89:A90"/>
    <mergeCell ref="B90:C90"/>
    <mergeCell ref="D90:E90"/>
    <mergeCell ref="B92:E92"/>
    <mergeCell ref="D67:E67"/>
    <mergeCell ref="D68:E68"/>
    <mergeCell ref="D69:E69"/>
    <mergeCell ref="B72:C72"/>
    <mergeCell ref="B73:C73"/>
    <mergeCell ref="D72:E72"/>
    <mergeCell ref="C94:D94"/>
    <mergeCell ref="B71:C71"/>
    <mergeCell ref="D71:E71"/>
    <mergeCell ref="B85:C85"/>
    <mergeCell ref="D85:E85"/>
    <mergeCell ref="B89:C89"/>
    <mergeCell ref="D89:E89"/>
    <mergeCell ref="D73:E73"/>
    <mergeCell ref="B86:C86"/>
    <mergeCell ref="D86:E86"/>
    <mergeCell ref="A60:F60"/>
    <mergeCell ref="A61:E61"/>
    <mergeCell ref="A64:A65"/>
    <mergeCell ref="C64:E64"/>
    <mergeCell ref="D65:E65"/>
    <mergeCell ref="D66:E66"/>
    <mergeCell ref="D44:E44"/>
    <mergeCell ref="D45:E45"/>
    <mergeCell ref="A56:B56"/>
    <mergeCell ref="A57:E57"/>
    <mergeCell ref="A58:E58"/>
    <mergeCell ref="A59:E59"/>
    <mergeCell ref="B39:C39"/>
    <mergeCell ref="D39:E39"/>
    <mergeCell ref="B40:C40"/>
    <mergeCell ref="D40:E40"/>
    <mergeCell ref="A42:A43"/>
    <mergeCell ref="D42:E42"/>
    <mergeCell ref="D43:E43"/>
    <mergeCell ref="D36:E36"/>
    <mergeCell ref="B37:C37"/>
    <mergeCell ref="D37:E37"/>
    <mergeCell ref="B38:C38"/>
    <mergeCell ref="D38:E38"/>
    <mergeCell ref="B36:C36"/>
    <mergeCell ref="B33:C33"/>
    <mergeCell ref="D33:E33"/>
    <mergeCell ref="B34:C34"/>
    <mergeCell ref="D34:E34"/>
    <mergeCell ref="B35:C35"/>
    <mergeCell ref="D35:E35"/>
    <mergeCell ref="B29:C29"/>
    <mergeCell ref="D29:E29"/>
    <mergeCell ref="B30:C30"/>
    <mergeCell ref="D30:E30"/>
    <mergeCell ref="B32:C32"/>
    <mergeCell ref="D32:E32"/>
    <mergeCell ref="B23:C23"/>
    <mergeCell ref="D23:E23"/>
    <mergeCell ref="B24:C24"/>
    <mergeCell ref="D24:E24"/>
    <mergeCell ref="B26:C26"/>
    <mergeCell ref="D26:E26"/>
    <mergeCell ref="B18:C18"/>
    <mergeCell ref="D18:E18"/>
    <mergeCell ref="B19:C19"/>
    <mergeCell ref="D19:E19"/>
    <mergeCell ref="D17:E17"/>
    <mergeCell ref="B21:C21"/>
    <mergeCell ref="D21:E21"/>
    <mergeCell ref="B14:C14"/>
    <mergeCell ref="D14:E14"/>
    <mergeCell ref="B16:C16"/>
    <mergeCell ref="D16:E16"/>
    <mergeCell ref="D13:E13"/>
    <mergeCell ref="B17:C17"/>
    <mergeCell ref="B10:C10"/>
    <mergeCell ref="D10:E10"/>
    <mergeCell ref="B11:C11"/>
    <mergeCell ref="D11:E11"/>
    <mergeCell ref="B12:C12"/>
    <mergeCell ref="D12:E12"/>
    <mergeCell ref="C5:E5"/>
    <mergeCell ref="A1:E1"/>
    <mergeCell ref="A2:E2"/>
    <mergeCell ref="A3:E3"/>
    <mergeCell ref="C4:E4"/>
    <mergeCell ref="B8:C8"/>
    <mergeCell ref="D8:E8"/>
    <mergeCell ref="A4:B4"/>
    <mergeCell ref="B9:C9"/>
    <mergeCell ref="D9:E9"/>
    <mergeCell ref="B25:C25"/>
    <mergeCell ref="B27:C27"/>
    <mergeCell ref="D25:E25"/>
    <mergeCell ref="D27:E27"/>
    <mergeCell ref="B15:C15"/>
    <mergeCell ref="D15:E15"/>
    <mergeCell ref="B20:C20"/>
    <mergeCell ref="D20:E20"/>
  </mergeCells>
  <printOptions horizontalCentered="1"/>
  <pageMargins left="0.42" right="0.32" top="0.7097222222222223" bottom="0.7097222222222223" header="0.5118055555555556" footer="0.5118055555555556"/>
  <pageSetup horizontalDpi="300" verticalDpi="300" orientation="portrait" paperSize="9" scale="64" r:id="rId2"/>
  <rowBreaks count="1" manualBreakCount="1">
    <brk id="56" max="255" man="1"/>
  </rowBreaks>
  <ignoredErrors>
    <ignoredError sqref="E51" formula="1"/>
    <ignoredError sqref="D90 B90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O256"/>
  <sheetViews>
    <sheetView showGridLines="0" zoomScaleSheetLayoutView="90" zoomScalePageLayoutView="0" workbookViewId="0" topLeftCell="F1">
      <selection activeCell="I4" sqref="I4:L6"/>
    </sheetView>
  </sheetViews>
  <sheetFormatPr defaultColWidth="9.140625" defaultRowHeight="12.75"/>
  <cols>
    <col min="1" max="1" width="9.8515625" style="182" customWidth="1"/>
    <col min="2" max="2" width="20.7109375" style="182" customWidth="1"/>
    <col min="3" max="3" width="16.421875" style="182" customWidth="1"/>
    <col min="4" max="4" width="16.7109375" style="126" customWidth="1"/>
    <col min="5" max="5" width="15.8515625" style="190" customWidth="1"/>
    <col min="6" max="6" width="17.140625" style="126" customWidth="1"/>
    <col min="7" max="7" width="14.57421875" style="190" customWidth="1"/>
    <col min="8" max="8" width="16.7109375" style="126" customWidth="1"/>
    <col min="9" max="9" width="15.8515625" style="126" customWidth="1"/>
    <col min="10" max="10" width="11.7109375" style="126" customWidth="1"/>
    <col min="11" max="11" width="9.8515625" style="126" customWidth="1"/>
    <col min="12" max="12" width="20.28125" style="126" bestFit="1" customWidth="1"/>
    <col min="13" max="13" width="14.8515625" style="126" customWidth="1"/>
    <col min="14" max="14" width="16.140625" style="126" bestFit="1" customWidth="1"/>
    <col min="15" max="16384" width="9.140625" style="125" customWidth="1"/>
  </cols>
  <sheetData>
    <row r="1" spans="1:14" s="127" customFormat="1" ht="12.75" customHeight="1">
      <c r="A1" s="1288"/>
      <c r="B1" s="1288" t="s">
        <v>109</v>
      </c>
      <c r="C1" s="1288"/>
      <c r="D1" s="1288"/>
      <c r="E1" s="1289"/>
      <c r="F1" s="1288"/>
      <c r="G1" s="478"/>
      <c r="H1" s="128"/>
      <c r="I1" s="128"/>
      <c r="J1" s="128"/>
      <c r="K1" s="128"/>
      <c r="L1" s="128"/>
      <c r="M1" s="128"/>
      <c r="N1" s="128"/>
    </row>
    <row r="2" spans="1:14" s="127" customFormat="1" ht="12.75" customHeight="1">
      <c r="A2" s="1288"/>
      <c r="B2" s="1288" t="s">
        <v>110</v>
      </c>
      <c r="C2" s="1288"/>
      <c r="D2" s="1288"/>
      <c r="E2" s="1289"/>
      <c r="F2" s="1288"/>
      <c r="G2" s="478"/>
      <c r="H2" s="128"/>
      <c r="I2" s="128"/>
      <c r="J2" s="128"/>
      <c r="K2" s="128"/>
      <c r="L2" s="128"/>
      <c r="M2" s="128"/>
      <c r="N2" s="128"/>
    </row>
    <row r="3" spans="1:14" s="127" customFormat="1" ht="12.75" customHeight="1">
      <c r="A3" s="1288"/>
      <c r="B3" s="1288" t="s">
        <v>111</v>
      </c>
      <c r="C3" s="1288"/>
      <c r="D3" s="1288"/>
      <c r="E3" s="1289"/>
      <c r="F3" s="1288"/>
      <c r="G3" s="478"/>
      <c r="H3" s="128"/>
      <c r="I3" s="128"/>
      <c r="J3" s="128"/>
      <c r="K3" s="128"/>
      <c r="L3" s="128"/>
      <c r="M3" s="128"/>
      <c r="N3" s="128"/>
    </row>
    <row r="4" spans="1:14" s="127" customFormat="1" ht="12.75" customHeight="1">
      <c r="A4" s="1288"/>
      <c r="B4" s="1288" t="s">
        <v>112</v>
      </c>
      <c r="C4" s="1288"/>
      <c r="D4" s="1288"/>
      <c r="E4" s="1289"/>
      <c r="F4" s="1288"/>
      <c r="G4" s="478"/>
      <c r="H4" s="128"/>
      <c r="I4" s="128"/>
      <c r="J4" s="130" t="str">
        <f>'Anexo I_BAL ORC'!H3</f>
        <v>Publicação: Diário Oficial do Município nº 227</v>
      </c>
      <c r="K4" s="885"/>
      <c r="L4" s="886"/>
      <c r="M4" s="128"/>
      <c r="N4" s="128"/>
    </row>
    <row r="5" spans="1:14" s="133" customFormat="1" ht="15.75" customHeight="1">
      <c r="A5" s="1346" t="str">
        <f>'Anexo I_BAL ORC'!A4:F4</f>
        <v>Referência: JANEIRO-OUTUBRO/2012; BIMESTRE: SETEMBRO/OUTUBRO/2012</v>
      </c>
      <c r="B5" s="1346"/>
      <c r="C5" s="1346"/>
      <c r="D5" s="1346"/>
      <c r="E5" s="1346"/>
      <c r="F5" s="1346"/>
      <c r="G5" s="129"/>
      <c r="H5" s="129"/>
      <c r="I5" s="129"/>
      <c r="J5" s="130" t="str">
        <f>'Anexo I_BAL ORC'!H4</f>
        <v>Data: 26/11/2012</v>
      </c>
      <c r="K5" s="131"/>
      <c r="L5" s="132"/>
      <c r="M5" s="486"/>
      <c r="N5" s="487"/>
    </row>
    <row r="6" spans="1:8" ht="11.25" customHeight="1">
      <c r="A6" s="126"/>
      <c r="B6" s="126"/>
      <c r="C6" s="126"/>
      <c r="H6" s="479"/>
    </row>
    <row r="7" spans="1:14" s="136" customFormat="1" ht="12.75">
      <c r="A7" s="488" t="s">
        <v>676</v>
      </c>
      <c r="B7" s="489"/>
      <c r="C7" s="489"/>
      <c r="D7" s="489"/>
      <c r="F7" s="134"/>
      <c r="G7" s="480"/>
      <c r="H7" s="134"/>
      <c r="I7" s="135"/>
      <c r="J7" s="135"/>
      <c r="K7" s="135"/>
      <c r="L7" s="490" t="s">
        <v>661</v>
      </c>
      <c r="M7" s="209"/>
      <c r="N7" s="135"/>
    </row>
    <row r="8" spans="1:14" s="138" customFormat="1" ht="15.75" customHeight="1">
      <c r="A8" s="1347" t="s">
        <v>113</v>
      </c>
      <c r="B8" s="1347"/>
      <c r="C8" s="491" t="s">
        <v>114</v>
      </c>
      <c r="D8" s="492" t="s">
        <v>114</v>
      </c>
      <c r="E8" s="1348" t="s">
        <v>115</v>
      </c>
      <c r="F8" s="1348"/>
      <c r="G8" s="1351" t="s">
        <v>116</v>
      </c>
      <c r="H8" s="1351"/>
      <c r="I8" s="1351"/>
      <c r="J8" s="1351"/>
      <c r="K8" s="1351"/>
      <c r="L8" s="1352" t="s">
        <v>117</v>
      </c>
      <c r="M8" s="493"/>
      <c r="N8" s="146"/>
    </row>
    <row r="9" spans="1:14" s="138" customFormat="1" ht="16.5" customHeight="1">
      <c r="A9" s="1347"/>
      <c r="B9" s="1347"/>
      <c r="C9" s="494"/>
      <c r="D9" s="495"/>
      <c r="E9" s="1348"/>
      <c r="F9" s="1348"/>
      <c r="G9" s="1353" t="s">
        <v>118</v>
      </c>
      <c r="H9" s="1353"/>
      <c r="I9" s="1354" t="s">
        <v>689</v>
      </c>
      <c r="J9" s="496" t="s">
        <v>119</v>
      </c>
      <c r="K9" s="496" t="s">
        <v>119</v>
      </c>
      <c r="L9" s="1352"/>
      <c r="M9" s="493"/>
      <c r="N9" s="146"/>
    </row>
    <row r="10" spans="1:14" s="138" customFormat="1" ht="14.25" customHeight="1">
      <c r="A10" s="1347"/>
      <c r="B10" s="1347"/>
      <c r="C10" s="494" t="s">
        <v>120</v>
      </c>
      <c r="D10" s="495" t="s">
        <v>121</v>
      </c>
      <c r="E10" s="481" t="s">
        <v>122</v>
      </c>
      <c r="F10" s="139" t="s">
        <v>123</v>
      </c>
      <c r="G10" s="481" t="s">
        <v>122</v>
      </c>
      <c r="H10" s="139" t="s">
        <v>123</v>
      </c>
      <c r="I10" s="1354"/>
      <c r="J10" s="1355" t="s">
        <v>124</v>
      </c>
      <c r="K10" s="496"/>
      <c r="L10" s="1352"/>
      <c r="M10" s="146"/>
      <c r="N10" s="146"/>
    </row>
    <row r="11" spans="1:14" s="138" customFormat="1" ht="15" customHeight="1">
      <c r="A11" s="497"/>
      <c r="B11" s="498"/>
      <c r="C11" s="498"/>
      <c r="D11" s="499" t="s">
        <v>125</v>
      </c>
      <c r="E11" s="482"/>
      <c r="F11" s="140"/>
      <c r="G11" s="482"/>
      <c r="H11" s="140" t="s">
        <v>126</v>
      </c>
      <c r="I11" s="1354"/>
      <c r="J11" s="1355"/>
      <c r="K11" s="500" t="s">
        <v>127</v>
      </c>
      <c r="L11" s="501" t="s">
        <v>128</v>
      </c>
      <c r="M11" s="146"/>
      <c r="N11" s="146"/>
    </row>
    <row r="12" spans="1:14" ht="15.75" customHeight="1">
      <c r="A12" s="1356" t="s">
        <v>129</v>
      </c>
      <c r="B12" s="1356"/>
      <c r="C12" s="142">
        <f>C13+C17+C20+C30+C34+C40+C44+C55+C60+C69+C74+C90+C97+C99+C102+C107+C112+C116+C120+C124+C127</f>
        <v>2569148696</v>
      </c>
      <c r="D12" s="142">
        <f aca="true" t="shared" si="0" ref="D12:I12">D13+D17+D20+D30+D34+D40+D44+D55+D60+D69+D74+D90+D97+D99+D102+D107+D112+D116+D120+D124+D127</f>
        <v>2584542281.4900002</v>
      </c>
      <c r="E12" s="142">
        <f t="shared" si="0"/>
        <v>175442067.90000004</v>
      </c>
      <c r="F12" s="142">
        <f t="shared" si="0"/>
        <v>1909296820.94</v>
      </c>
      <c r="G12" s="142">
        <f t="shared" si="0"/>
        <v>325468306.17</v>
      </c>
      <c r="H12" s="142">
        <f t="shared" si="0"/>
        <v>1486781424.2</v>
      </c>
      <c r="I12" s="142">
        <f t="shared" si="0"/>
        <v>0</v>
      </c>
      <c r="J12" s="142">
        <f>H12/H132*100</f>
        <v>96.68660102634273</v>
      </c>
      <c r="K12" s="142">
        <f>((H12+I12)/D12)*100</f>
        <v>57.525908353213865</v>
      </c>
      <c r="L12" s="142">
        <f>D12-H12+I12</f>
        <v>1097760857.2900002</v>
      </c>
      <c r="M12" s="145"/>
      <c r="N12" s="509"/>
    </row>
    <row r="13" spans="1:13" s="146" customFormat="1" ht="18" customHeight="1">
      <c r="A13" s="1349" t="s">
        <v>130</v>
      </c>
      <c r="B13" s="1349"/>
      <c r="C13" s="143">
        <f>C16+C14+C15</f>
        <v>56037752</v>
      </c>
      <c r="D13" s="143">
        <f>D14+D15+D16</f>
        <v>56037752</v>
      </c>
      <c r="E13" s="143">
        <f>E16+E14+E15</f>
        <v>0</v>
      </c>
      <c r="F13" s="143">
        <f>F16+F14+F15</f>
        <v>0</v>
      </c>
      <c r="G13" s="143">
        <f>G16+G14+G15</f>
        <v>0</v>
      </c>
      <c r="H13" s="143">
        <f>H16+H14+H15</f>
        <v>0</v>
      </c>
      <c r="I13" s="143">
        <f>I16+I14+I15</f>
        <v>0</v>
      </c>
      <c r="J13" s="143">
        <f aca="true" t="shared" si="1" ref="J13:J44">((H13+I13)/($H$132+$I$132))*100</f>
        <v>0</v>
      </c>
      <c r="K13" s="143">
        <f aca="true" t="shared" si="2" ref="K13:K23">((H13+I13)/D13)*100</f>
        <v>0</v>
      </c>
      <c r="L13" s="144">
        <f>L14+L15+L16</f>
        <v>56037752</v>
      </c>
      <c r="M13" s="145"/>
    </row>
    <row r="14" spans="1:14" s="126" customFormat="1" ht="18" customHeight="1">
      <c r="A14" s="1350" t="s">
        <v>131</v>
      </c>
      <c r="B14" s="1350"/>
      <c r="C14" s="147">
        <v>56037752</v>
      </c>
      <c r="D14" s="147">
        <f>C14</f>
        <v>56037752</v>
      </c>
      <c r="E14" s="891">
        <f>F14-'[21]Anexo II_DP FUNC'!F14</f>
        <v>0</v>
      </c>
      <c r="F14" s="660">
        <v>0</v>
      </c>
      <c r="G14" s="891">
        <f>H14-'[21]Anexo II_DP FUNC'!H14</f>
        <v>0</v>
      </c>
      <c r="H14" s="660">
        <v>0</v>
      </c>
      <c r="I14" s="147">
        <v>0</v>
      </c>
      <c r="J14" s="147">
        <f t="shared" si="1"/>
        <v>0</v>
      </c>
      <c r="K14" s="147">
        <f t="shared" si="2"/>
        <v>0</v>
      </c>
      <c r="L14" s="148">
        <f>D14-(H14+I14)</f>
        <v>56037752</v>
      </c>
      <c r="M14" s="145"/>
      <c r="N14" s="509"/>
    </row>
    <row r="15" spans="1:13" s="126" customFormat="1" ht="18" customHeight="1">
      <c r="A15" s="1350" t="s">
        <v>132</v>
      </c>
      <c r="B15" s="1350"/>
      <c r="C15" s="147">
        <v>0</v>
      </c>
      <c r="D15" s="147">
        <f>C15</f>
        <v>0</v>
      </c>
      <c r="E15" s="891">
        <f>F15-'[21]Anexo II_DP FUNC'!F15</f>
        <v>0</v>
      </c>
      <c r="F15" s="660">
        <v>0</v>
      </c>
      <c r="G15" s="891">
        <f>H15-'[21]Anexo II_DP FUNC'!H15</f>
        <v>0</v>
      </c>
      <c r="H15" s="660">
        <v>0</v>
      </c>
      <c r="I15" s="147">
        <f>F15-H15</f>
        <v>0</v>
      </c>
      <c r="J15" s="147">
        <f t="shared" si="1"/>
        <v>0</v>
      </c>
      <c r="K15" s="147">
        <v>0</v>
      </c>
      <c r="L15" s="148">
        <f>D15-(H15+I15)</f>
        <v>0</v>
      </c>
      <c r="M15" s="145"/>
    </row>
    <row r="16" spans="1:13" s="126" customFormat="1" ht="18" customHeight="1">
      <c r="A16" s="1345" t="s">
        <v>133</v>
      </c>
      <c r="B16" s="1345"/>
      <c r="C16" s="150">
        <v>0</v>
      </c>
      <c r="D16" s="147">
        <f>C16</f>
        <v>0</v>
      </c>
      <c r="E16" s="891">
        <f>F16-'[21]Anexo II_DP FUNC'!F16</f>
        <v>0</v>
      </c>
      <c r="F16" s="661">
        <v>0</v>
      </c>
      <c r="G16" s="891">
        <f>H16-'[21]Anexo II_DP FUNC'!H16</f>
        <v>0</v>
      </c>
      <c r="H16" s="661">
        <f>F16</f>
        <v>0</v>
      </c>
      <c r="I16" s="147">
        <f>F16-H16</f>
        <v>0</v>
      </c>
      <c r="J16" s="147">
        <f t="shared" si="1"/>
        <v>0</v>
      </c>
      <c r="K16" s="147">
        <v>0</v>
      </c>
      <c r="L16" s="151">
        <f>D16-(H16+I16)</f>
        <v>0</v>
      </c>
      <c r="M16" s="145"/>
    </row>
    <row r="17" spans="1:14" s="138" customFormat="1" ht="18" customHeight="1">
      <c r="A17" s="1349" t="s">
        <v>134</v>
      </c>
      <c r="B17" s="1349"/>
      <c r="C17" s="143">
        <f>C19+C18</f>
        <v>14463653</v>
      </c>
      <c r="D17" s="143">
        <f>D18+D19</f>
        <v>14463653</v>
      </c>
      <c r="E17" s="143">
        <f>E18+E19</f>
        <v>19318.320000000298</v>
      </c>
      <c r="F17" s="143">
        <f>F19+F18</f>
        <v>13366730.09</v>
      </c>
      <c r="G17" s="143">
        <f>G18+G19</f>
        <v>1947403.42</v>
      </c>
      <c r="H17" s="143">
        <f>H19+H18</f>
        <v>9619489.709999999</v>
      </c>
      <c r="I17" s="143">
        <f>I19+I18</f>
        <v>0</v>
      </c>
      <c r="J17" s="143">
        <f t="shared" si="1"/>
        <v>0.6255632122712522</v>
      </c>
      <c r="K17" s="143">
        <f t="shared" si="2"/>
        <v>66.50802331886695</v>
      </c>
      <c r="L17" s="144">
        <f>L18+L19</f>
        <v>4844163.290000001</v>
      </c>
      <c r="M17" s="502"/>
      <c r="N17" s="146"/>
    </row>
    <row r="18" spans="1:13" ht="18" customHeight="1">
      <c r="A18" s="1350" t="s">
        <v>135</v>
      </c>
      <c r="B18" s="1350"/>
      <c r="C18" s="147">
        <v>900000</v>
      </c>
      <c r="D18" s="147">
        <v>771223</v>
      </c>
      <c r="E18" s="891">
        <f>F18-'[21]Anexo II_DP FUNC'!F18</f>
        <v>0</v>
      </c>
      <c r="F18" s="660">
        <v>497681.24</v>
      </c>
      <c r="G18" s="891">
        <f>H18-'[21]Anexo II_DP FUNC'!H18</f>
        <v>51735</v>
      </c>
      <c r="H18" s="660">
        <v>245530.19</v>
      </c>
      <c r="I18" s="147">
        <v>0</v>
      </c>
      <c r="J18" s="147">
        <f t="shared" si="1"/>
        <v>0.015967027253670288</v>
      </c>
      <c r="K18" s="147">
        <f t="shared" si="2"/>
        <v>31.83647142266245</v>
      </c>
      <c r="L18" s="148">
        <f>D18-(H18+I18)</f>
        <v>525692.81</v>
      </c>
      <c r="M18" s="145"/>
    </row>
    <row r="19" spans="1:13" ht="18" customHeight="1">
      <c r="A19" s="1345" t="s">
        <v>136</v>
      </c>
      <c r="B19" s="1345"/>
      <c r="C19" s="147">
        <v>13563653</v>
      </c>
      <c r="D19" s="150">
        <v>13692430</v>
      </c>
      <c r="E19" s="891">
        <f>F19-'[21]Anexo II_DP FUNC'!F19</f>
        <v>19318.320000000298</v>
      </c>
      <c r="F19" s="656">
        <v>12869048.85</v>
      </c>
      <c r="G19" s="891">
        <f>H19-'[21]Anexo II_DP FUNC'!H19</f>
        <v>1895668.42</v>
      </c>
      <c r="H19" s="661">
        <v>9373959.52</v>
      </c>
      <c r="I19" s="147">
        <v>0</v>
      </c>
      <c r="J19" s="150">
        <f t="shared" si="1"/>
        <v>0.609596185017582</v>
      </c>
      <c r="K19" s="147">
        <f t="shared" si="2"/>
        <v>68.46089057968527</v>
      </c>
      <c r="L19" s="151">
        <f>D19-(H19+I19)</f>
        <v>4318470.48</v>
      </c>
      <c r="M19" s="145"/>
    </row>
    <row r="20" spans="1:14" s="138" customFormat="1" ht="18" customHeight="1">
      <c r="A20" s="1357" t="s">
        <v>137</v>
      </c>
      <c r="B20" s="1357"/>
      <c r="C20" s="143">
        <f aca="true" t="shared" si="3" ref="C20:I20">SUM(C21:C29)</f>
        <v>278880732</v>
      </c>
      <c r="D20" s="144">
        <f t="shared" si="3"/>
        <v>269302724.62</v>
      </c>
      <c r="E20" s="143">
        <f>SUM(E21:E29)</f>
        <v>3237615.7300000237</v>
      </c>
      <c r="F20" s="144">
        <f t="shared" si="3"/>
        <v>231821100.06000003</v>
      </c>
      <c r="G20" s="143">
        <f>SUM(G21:G29)</f>
        <v>34532879.20999999</v>
      </c>
      <c r="H20" s="144">
        <f t="shared" si="3"/>
        <v>179148080.03000003</v>
      </c>
      <c r="I20" s="143">
        <f t="shared" si="3"/>
        <v>0</v>
      </c>
      <c r="J20" s="144">
        <f t="shared" si="1"/>
        <v>11.65014484076975</v>
      </c>
      <c r="K20" s="143">
        <f t="shared" si="2"/>
        <v>66.5229363285452</v>
      </c>
      <c r="L20" s="144">
        <f>SUM(L21:L29)</f>
        <v>90154644.59000003</v>
      </c>
      <c r="M20" s="502"/>
      <c r="N20" s="146"/>
    </row>
    <row r="21" spans="1:14" ht="18" customHeight="1">
      <c r="A21" s="1350" t="s">
        <v>138</v>
      </c>
      <c r="B21" s="1350"/>
      <c r="C21" s="147">
        <v>24466761</v>
      </c>
      <c r="D21" s="148">
        <v>31862658.4</v>
      </c>
      <c r="E21" s="891">
        <f>F21-'[21]Anexo II_DP FUNC'!F21</f>
        <v>107488.4299999997</v>
      </c>
      <c r="F21" s="859">
        <v>21755328.35</v>
      </c>
      <c r="G21" s="891">
        <f>H21-'[21]Anexo II_DP FUNC'!H21</f>
        <v>4128780.26</v>
      </c>
      <c r="H21" s="1040">
        <v>15149464.49</v>
      </c>
      <c r="I21" s="147">
        <v>0</v>
      </c>
      <c r="J21" s="148">
        <f t="shared" si="1"/>
        <v>0.9851819541635196</v>
      </c>
      <c r="K21" s="147">
        <f t="shared" si="2"/>
        <v>47.546141002472034</v>
      </c>
      <c r="L21" s="148">
        <f aca="true" t="shared" si="4" ref="L21:L29">D21-(H21+I21)</f>
        <v>16713193.909999998</v>
      </c>
      <c r="M21" s="145"/>
      <c r="N21" s="847"/>
    </row>
    <row r="22" spans="1:14" s="1070" customFormat="1" ht="18" customHeight="1">
      <c r="A22" s="1358" t="s">
        <v>132</v>
      </c>
      <c r="B22" s="1358"/>
      <c r="C22" s="1062">
        <v>199024335</v>
      </c>
      <c r="D22" s="1063">
        <v>195920007.61</v>
      </c>
      <c r="E22" s="891">
        <f>F22-'[21]Anexo II_DP FUNC'!F22</f>
        <v>1388989.5700000226</v>
      </c>
      <c r="F22" s="1069">
        <v>176504901.33</v>
      </c>
      <c r="G22" s="891">
        <f>H22-'[21]Anexo II_DP FUNC'!H22</f>
        <v>26604860.25999999</v>
      </c>
      <c r="H22" s="1164">
        <v>135080225.7</v>
      </c>
      <c r="I22" s="1062">
        <v>0</v>
      </c>
      <c r="J22" s="1063">
        <f t="shared" si="1"/>
        <v>8.784376557456472</v>
      </c>
      <c r="K22" s="1062">
        <f t="shared" si="2"/>
        <v>68.94662130112398</v>
      </c>
      <c r="L22" s="1063">
        <f t="shared" si="4"/>
        <v>60839781.910000026</v>
      </c>
      <c r="M22" s="1066"/>
      <c r="N22" s="1067"/>
    </row>
    <row r="23" spans="1:13" ht="18" customHeight="1">
      <c r="A23" s="1350" t="s">
        <v>139</v>
      </c>
      <c r="B23" s="1350"/>
      <c r="C23" s="147">
        <v>2500000</v>
      </c>
      <c r="D23" s="148">
        <v>3500000</v>
      </c>
      <c r="E23" s="891">
        <f>F23-'[21]Anexo II_DP FUNC'!F23</f>
        <v>1044176</v>
      </c>
      <c r="F23" s="859">
        <v>3450784.92</v>
      </c>
      <c r="G23" s="891">
        <f>H23-'[21]Anexo II_DP FUNC'!H23</f>
        <v>484969.29000000004</v>
      </c>
      <c r="H23" s="1040">
        <v>2700305.66</v>
      </c>
      <c r="I23" s="147">
        <f>2119041.27-2119041.27</f>
        <v>0</v>
      </c>
      <c r="J23" s="148">
        <f t="shared" si="1"/>
        <v>0.1756030656208108</v>
      </c>
      <c r="K23" s="147">
        <f t="shared" si="2"/>
        <v>77.15159028571429</v>
      </c>
      <c r="L23" s="148">
        <f t="shared" si="4"/>
        <v>799694.3399999999</v>
      </c>
      <c r="M23" s="145"/>
    </row>
    <row r="24" spans="1:13" ht="18" customHeight="1">
      <c r="A24" s="1350" t="s">
        <v>140</v>
      </c>
      <c r="B24" s="1350"/>
      <c r="C24" s="147">
        <v>40000</v>
      </c>
      <c r="D24" s="148">
        <f>C24</f>
        <v>40000</v>
      </c>
      <c r="E24" s="891">
        <f>F24-'[21]Anexo II_DP FUNC'!F24</f>
        <v>0</v>
      </c>
      <c r="F24" s="859">
        <v>510.86</v>
      </c>
      <c r="G24" s="891">
        <f>H24-'[21]Anexo II_DP FUNC'!H24</f>
        <v>0</v>
      </c>
      <c r="H24" s="1040">
        <v>510.86</v>
      </c>
      <c r="I24" s="147">
        <v>0</v>
      </c>
      <c r="J24" s="148">
        <f t="shared" si="1"/>
        <v>3.322163984318997E-05</v>
      </c>
      <c r="K24" s="147">
        <v>0</v>
      </c>
      <c r="L24" s="148">
        <f t="shared" si="4"/>
        <v>39489.14</v>
      </c>
      <c r="M24" s="145"/>
    </row>
    <row r="25" spans="1:13" ht="18" customHeight="1">
      <c r="A25" s="466" t="s">
        <v>141</v>
      </c>
      <c r="B25" s="466"/>
      <c r="C25" s="147">
        <v>17466100</v>
      </c>
      <c r="D25" s="148">
        <v>14466100</v>
      </c>
      <c r="E25" s="891">
        <f>F25-'[21]Anexo II_DP FUNC'!F25</f>
        <v>802502.7000000011</v>
      </c>
      <c r="F25" s="859">
        <v>11499767.89</v>
      </c>
      <c r="G25" s="891">
        <f>H25-'[21]Anexo II_DP FUNC'!H25</f>
        <v>1819404.6000000006</v>
      </c>
      <c r="H25" s="1040">
        <v>9042362.99</v>
      </c>
      <c r="I25" s="147">
        <v>0</v>
      </c>
      <c r="J25" s="148">
        <f t="shared" si="1"/>
        <v>0.5880321939184324</v>
      </c>
      <c r="K25" s="147">
        <f aca="true" t="shared" si="5" ref="K25:K60">((H25+I25)/D25)*100</f>
        <v>62.50726173605878</v>
      </c>
      <c r="L25" s="148">
        <f t="shared" si="4"/>
        <v>5423737.01</v>
      </c>
      <c r="M25" s="145"/>
    </row>
    <row r="26" spans="1:13" ht="18" customHeight="1">
      <c r="A26" s="466" t="s">
        <v>142</v>
      </c>
      <c r="B26" s="466"/>
      <c r="C26" s="147">
        <v>550500</v>
      </c>
      <c r="D26" s="148">
        <v>220500</v>
      </c>
      <c r="E26" s="891">
        <f>F26-'[21]Anexo II_DP FUNC'!F26</f>
        <v>2390</v>
      </c>
      <c r="F26" s="859">
        <v>2390</v>
      </c>
      <c r="G26" s="891">
        <f>H26-'[21]Anexo II_DP FUNC'!H26</f>
        <v>0</v>
      </c>
      <c r="H26" s="1040">
        <v>0</v>
      </c>
      <c r="I26" s="147">
        <v>0</v>
      </c>
      <c r="J26" s="148">
        <f t="shared" si="1"/>
        <v>0</v>
      </c>
      <c r="K26" s="147">
        <f t="shared" si="5"/>
        <v>0</v>
      </c>
      <c r="L26" s="148">
        <f t="shared" si="4"/>
        <v>220500</v>
      </c>
      <c r="M26" s="145"/>
    </row>
    <row r="27" spans="1:13" ht="18" customHeight="1">
      <c r="A27" s="466" t="s">
        <v>143</v>
      </c>
      <c r="B27" s="466"/>
      <c r="C27" s="147">
        <v>7330000</v>
      </c>
      <c r="D27" s="148">
        <v>6790422.61</v>
      </c>
      <c r="E27" s="891">
        <f>F27-'[21]Anexo II_DP FUNC'!F27</f>
        <v>-108050.96999999974</v>
      </c>
      <c r="F27" s="859">
        <v>5748949.03</v>
      </c>
      <c r="G27" s="891">
        <f>H27-'[21]Anexo II_DP FUNC'!H27</f>
        <v>1001600</v>
      </c>
      <c r="H27" s="1040">
        <v>5242949.03</v>
      </c>
      <c r="I27" s="147">
        <v>0</v>
      </c>
      <c r="J27" s="148">
        <f t="shared" si="1"/>
        <v>0.3409532247403637</v>
      </c>
      <c r="K27" s="147">
        <f t="shared" si="5"/>
        <v>77.21093856925644</v>
      </c>
      <c r="L27" s="148">
        <f t="shared" si="4"/>
        <v>1547473.58</v>
      </c>
      <c r="M27" s="145"/>
    </row>
    <row r="28" spans="1:13" ht="18" customHeight="1">
      <c r="A28" s="466" t="s">
        <v>144</v>
      </c>
      <c r="B28" s="466"/>
      <c r="C28" s="147">
        <v>27462036</v>
      </c>
      <c r="D28" s="148">
        <v>16462036</v>
      </c>
      <c r="E28" s="891">
        <f>F28-'[21]Anexo II_DP FUNC'!F28</f>
        <v>0</v>
      </c>
      <c r="F28" s="859">
        <v>12856047.68</v>
      </c>
      <c r="G28" s="891">
        <f>H28-'[21]Anexo II_DP FUNC'!H28</f>
        <v>491764.80000000075</v>
      </c>
      <c r="H28" s="1040">
        <v>11929841.3</v>
      </c>
      <c r="I28" s="147">
        <v>0</v>
      </c>
      <c r="J28" s="148">
        <f>((H28+I28)/($H$132+$I$132))*100</f>
        <v>0.7758072486689371</v>
      </c>
      <c r="K28" s="147">
        <f>((H28+I28)/D28)*100</f>
        <v>72.46880823246894</v>
      </c>
      <c r="L28" s="148">
        <f>D28-(H28+I28)</f>
        <v>4532194.699999999</v>
      </c>
      <c r="M28" s="145"/>
    </row>
    <row r="29" spans="1:14" s="155" customFormat="1" ht="18" customHeight="1">
      <c r="A29" s="149" t="s">
        <v>674</v>
      </c>
      <c r="B29" s="149"/>
      <c r="C29" s="150">
        <v>41000</v>
      </c>
      <c r="D29" s="150">
        <f>C29</f>
        <v>41000</v>
      </c>
      <c r="E29" s="891">
        <f>F29-'[21]Anexo II_DP FUNC'!F29</f>
        <v>120</v>
      </c>
      <c r="F29" s="860">
        <v>2420</v>
      </c>
      <c r="G29" s="891">
        <f>H29-'[21]Anexo II_DP FUNC'!H29</f>
        <v>1500</v>
      </c>
      <c r="H29" s="1163">
        <v>2420</v>
      </c>
      <c r="I29" s="150">
        <v>0</v>
      </c>
      <c r="J29" s="153">
        <f t="shared" si="1"/>
        <v>0.0001573745613681238</v>
      </c>
      <c r="K29" s="150">
        <f t="shared" si="5"/>
        <v>5.902439024390244</v>
      </c>
      <c r="L29" s="153">
        <f t="shared" si="4"/>
        <v>38580</v>
      </c>
      <c r="M29" s="504"/>
      <c r="N29" s="262"/>
    </row>
    <row r="30" spans="1:14" s="138" customFormat="1" ht="18" customHeight="1">
      <c r="A30" s="1357" t="s">
        <v>146</v>
      </c>
      <c r="B30" s="1357"/>
      <c r="C30" s="156">
        <f aca="true" t="shared" si="6" ref="C30:I30">C33+C31+C32</f>
        <v>20553061</v>
      </c>
      <c r="D30" s="163">
        <f t="shared" si="6"/>
        <v>20808213.72</v>
      </c>
      <c r="E30" s="662">
        <f t="shared" si="6"/>
        <v>-234.60000000149012</v>
      </c>
      <c r="F30" s="663">
        <f t="shared" si="6"/>
        <v>19954618.09</v>
      </c>
      <c r="G30" s="662">
        <f>G33+G31+G32</f>
        <v>3706673.3000000007</v>
      </c>
      <c r="H30" s="518">
        <f>H31+H32+H33</f>
        <v>14876603.55</v>
      </c>
      <c r="I30" s="517">
        <f t="shared" si="6"/>
        <v>0</v>
      </c>
      <c r="J30" s="156">
        <f t="shared" si="1"/>
        <v>0.9674375860862495</v>
      </c>
      <c r="K30" s="156">
        <f t="shared" si="5"/>
        <v>71.49390019817618</v>
      </c>
      <c r="L30" s="144">
        <f>L31+L32+L33</f>
        <v>5931610.169999999</v>
      </c>
      <c r="M30" s="502"/>
      <c r="N30" s="146"/>
    </row>
    <row r="31" spans="1:13" ht="18" customHeight="1">
      <c r="A31" s="1350" t="s">
        <v>132</v>
      </c>
      <c r="B31" s="1350"/>
      <c r="C31" s="147">
        <v>19522141</v>
      </c>
      <c r="D31" s="158">
        <v>19414563.7</v>
      </c>
      <c r="E31" s="891">
        <f>F31-'[21]Anexo II_DP FUNC'!F31</f>
        <v>-234.60000000149012</v>
      </c>
      <c r="F31" s="660">
        <v>18840958.09</v>
      </c>
      <c r="G31" s="891">
        <f>H31-'[21]Anexo II_DP FUNC'!H31</f>
        <v>2971644.8900000006</v>
      </c>
      <c r="H31" s="519">
        <v>13941415.14</v>
      </c>
      <c r="I31" s="152">
        <v>0</v>
      </c>
      <c r="J31" s="147">
        <f t="shared" si="1"/>
        <v>0.9066215258299257</v>
      </c>
      <c r="K31" s="147">
        <f t="shared" si="5"/>
        <v>71.80905713580368</v>
      </c>
      <c r="L31" s="148">
        <f>D31-(H31+I31)</f>
        <v>5473148.559999999</v>
      </c>
      <c r="M31" s="145"/>
    </row>
    <row r="32" spans="1:13" ht="18" customHeight="1">
      <c r="A32" s="1350" t="s">
        <v>147</v>
      </c>
      <c r="B32" s="1350"/>
      <c r="C32" s="147">
        <v>1030920</v>
      </c>
      <c r="D32" s="158">
        <v>1393650.02</v>
      </c>
      <c r="E32" s="891">
        <f>F32-'[21]Anexo II_DP FUNC'!F32</f>
        <v>0</v>
      </c>
      <c r="F32" s="660">
        <v>1113660</v>
      </c>
      <c r="G32" s="891">
        <f>H32-'[21]Anexo II_DP FUNC'!H32</f>
        <v>735028.41</v>
      </c>
      <c r="H32" s="519">
        <v>935188.41</v>
      </c>
      <c r="I32" s="152">
        <v>0</v>
      </c>
      <c r="J32" s="147">
        <f t="shared" si="1"/>
        <v>0.06081606025632361</v>
      </c>
      <c r="K32" s="147">
        <f t="shared" si="5"/>
        <v>67.10353364038986</v>
      </c>
      <c r="L32" s="148">
        <f>D32-(H32+I32)</f>
        <v>458461.61</v>
      </c>
      <c r="M32" s="145"/>
    </row>
    <row r="33" spans="1:13" ht="18" customHeight="1">
      <c r="A33" s="1345" t="s">
        <v>148</v>
      </c>
      <c r="B33" s="1345"/>
      <c r="C33" s="150">
        <v>0</v>
      </c>
      <c r="D33" s="158">
        <f>C33</f>
        <v>0</v>
      </c>
      <c r="E33" s="892">
        <f>F33-'[21]Anexo II_DP FUNC'!F33</f>
        <v>0</v>
      </c>
      <c r="F33" s="656">
        <v>0</v>
      </c>
      <c r="G33" s="892">
        <f>H33-'[21]Anexo II_DP FUNC'!H33</f>
        <v>0</v>
      </c>
      <c r="H33" s="520">
        <v>0</v>
      </c>
      <c r="I33" s="152">
        <v>0</v>
      </c>
      <c r="J33" s="147">
        <f t="shared" si="1"/>
        <v>0</v>
      </c>
      <c r="K33" s="147">
        <v>0</v>
      </c>
      <c r="L33" s="148">
        <f>D33-(H33+I33)</f>
        <v>0</v>
      </c>
      <c r="M33" s="145"/>
    </row>
    <row r="34" spans="1:14" s="138" customFormat="1" ht="18" customHeight="1">
      <c r="A34" s="1357" t="s">
        <v>149</v>
      </c>
      <c r="B34" s="1357"/>
      <c r="C34" s="157">
        <f aca="true" t="shared" si="7" ref="C34:I34">C35+C36+C37+C38+C39</f>
        <v>37724772</v>
      </c>
      <c r="D34" s="157">
        <f t="shared" si="7"/>
        <v>37724772</v>
      </c>
      <c r="E34" s="664">
        <f t="shared" si="7"/>
        <v>1975876.6399999983</v>
      </c>
      <c r="F34" s="664">
        <f t="shared" si="7"/>
        <v>27103127.91</v>
      </c>
      <c r="G34" s="664">
        <f>G35+G36+G37+G38+G39</f>
        <v>4583880.329999999</v>
      </c>
      <c r="H34" s="163">
        <f t="shared" si="7"/>
        <v>22144438.5</v>
      </c>
      <c r="I34" s="157">
        <f t="shared" si="7"/>
        <v>0</v>
      </c>
      <c r="J34" s="157">
        <f t="shared" si="1"/>
        <v>1.4400707833392121</v>
      </c>
      <c r="K34" s="157">
        <f t="shared" si="5"/>
        <v>58.69999293832711</v>
      </c>
      <c r="L34" s="157">
        <f>L35+L36+L37+L38+L39</f>
        <v>15580333.500000002</v>
      </c>
      <c r="M34" s="502"/>
      <c r="N34" s="146"/>
    </row>
    <row r="35" spans="1:13" ht="18" customHeight="1">
      <c r="A35" s="1350" t="s">
        <v>132</v>
      </c>
      <c r="B35" s="1350"/>
      <c r="C35" s="147">
        <v>15272175</v>
      </c>
      <c r="D35" s="147">
        <f>C35</f>
        <v>15272175</v>
      </c>
      <c r="E35" s="891">
        <f>F35-'[21]Anexo II_DP FUNC'!F35</f>
        <v>450209.91000000015</v>
      </c>
      <c r="F35" s="665">
        <v>13227668.58</v>
      </c>
      <c r="G35" s="891">
        <f>H35-'[21]Anexo II_DP FUNC'!H35</f>
        <v>2670810.8099999996</v>
      </c>
      <c r="H35" s="158">
        <v>10702414.28</v>
      </c>
      <c r="I35" s="147">
        <v>0</v>
      </c>
      <c r="J35" s="147">
        <f t="shared" si="1"/>
        <v>0.6959866747499771</v>
      </c>
      <c r="K35" s="147">
        <f t="shared" si="5"/>
        <v>70.077865660916</v>
      </c>
      <c r="L35" s="148">
        <f>D35-(H35+I35)</f>
        <v>4569760.720000001</v>
      </c>
      <c r="M35" s="145"/>
    </row>
    <row r="36" spans="1:13" ht="18" customHeight="1">
      <c r="A36" s="1350" t="s">
        <v>150</v>
      </c>
      <c r="B36" s="1350"/>
      <c r="C36" s="147">
        <v>260000</v>
      </c>
      <c r="D36" s="147">
        <v>179590</v>
      </c>
      <c r="E36" s="891">
        <f>F36-'[21]Anexo II_DP FUNC'!F36</f>
        <v>8736.160000000003</v>
      </c>
      <c r="F36" s="665">
        <v>158882.16</v>
      </c>
      <c r="G36" s="891">
        <f>H36-'[21]Anexo II_DP FUNC'!H36</f>
        <v>37117.11</v>
      </c>
      <c r="H36" s="158">
        <v>154976.12</v>
      </c>
      <c r="I36" s="147">
        <v>0</v>
      </c>
      <c r="J36" s="147">
        <f t="shared" si="1"/>
        <v>0.01007822268906352</v>
      </c>
      <c r="K36" s="147">
        <f t="shared" si="5"/>
        <v>86.29440392004008</v>
      </c>
      <c r="L36" s="148">
        <f>D36-(H36+I36)</f>
        <v>24613.880000000005</v>
      </c>
      <c r="M36" s="145"/>
    </row>
    <row r="37" spans="1:13" ht="18" customHeight="1">
      <c r="A37" s="1350" t="s">
        <v>151</v>
      </c>
      <c r="B37" s="1350"/>
      <c r="C37" s="147">
        <v>138000</v>
      </c>
      <c r="D37" s="147">
        <f>C37</f>
        <v>138000</v>
      </c>
      <c r="E37" s="891">
        <f>F37-'[21]Anexo II_DP FUNC'!F37</f>
        <v>12496.25</v>
      </c>
      <c r="F37" s="665">
        <v>92496.25</v>
      </c>
      <c r="G37" s="891">
        <f>H37-'[21]Anexo II_DP FUNC'!H37</f>
        <v>12496.25</v>
      </c>
      <c r="H37" s="158">
        <v>92496.25</v>
      </c>
      <c r="I37" s="147">
        <v>0</v>
      </c>
      <c r="J37" s="147">
        <f t="shared" si="1"/>
        <v>0.00601510610411005</v>
      </c>
      <c r="K37" s="147">
        <f t="shared" si="5"/>
        <v>67.02626811594203</v>
      </c>
      <c r="L37" s="148">
        <f>D37-(H37+I37)</f>
        <v>45503.75</v>
      </c>
      <c r="M37" s="145"/>
    </row>
    <row r="38" spans="1:13" ht="18" customHeight="1">
      <c r="A38" s="1350" t="s">
        <v>152</v>
      </c>
      <c r="B38" s="1350"/>
      <c r="C38" s="147">
        <v>9642622</v>
      </c>
      <c r="D38" s="147">
        <v>9032622</v>
      </c>
      <c r="E38" s="891">
        <f>F38-'[21]Anexo II_DP FUNC'!F38</f>
        <v>511567.9099999997</v>
      </c>
      <c r="F38" s="665">
        <v>4020933.63</v>
      </c>
      <c r="G38" s="891">
        <f>H38-'[21]Anexo II_DP FUNC'!H38</f>
        <v>268263.18000000017</v>
      </c>
      <c r="H38" s="158">
        <v>3270943.93</v>
      </c>
      <c r="I38" s="147">
        <v>0</v>
      </c>
      <c r="J38" s="147">
        <f t="shared" si="1"/>
        <v>0.21271213481135415</v>
      </c>
      <c r="K38" s="147">
        <f t="shared" si="5"/>
        <v>36.212562974516146</v>
      </c>
      <c r="L38" s="148">
        <f>D38-(H38+I38)</f>
        <v>5761678.07</v>
      </c>
      <c r="M38" s="145"/>
    </row>
    <row r="39" spans="1:13" ht="18" customHeight="1">
      <c r="A39" s="1359" t="s">
        <v>153</v>
      </c>
      <c r="B39" s="1359"/>
      <c r="C39" s="150">
        <v>12411975</v>
      </c>
      <c r="D39" s="147">
        <v>13102385</v>
      </c>
      <c r="E39" s="891">
        <f>F39-'[21]Anexo II_DP FUNC'!F39</f>
        <v>992866.4099999983</v>
      </c>
      <c r="F39" s="665">
        <v>9603147.29</v>
      </c>
      <c r="G39" s="891">
        <f>H39-'[21]Anexo II_DP FUNC'!H39</f>
        <v>1595192.9799999995</v>
      </c>
      <c r="H39" s="158">
        <v>7923607.92</v>
      </c>
      <c r="I39" s="147">
        <v>0</v>
      </c>
      <c r="J39" s="147">
        <f t="shared" si="1"/>
        <v>0.5152786449847073</v>
      </c>
      <c r="K39" s="147">
        <f t="shared" si="5"/>
        <v>60.47454658064162</v>
      </c>
      <c r="L39" s="148">
        <f>D39-(H39+I39)</f>
        <v>5178777.08</v>
      </c>
      <c r="M39" s="145"/>
    </row>
    <row r="40" spans="1:14" s="138" customFormat="1" ht="18" customHeight="1">
      <c r="A40" s="503" t="s">
        <v>154</v>
      </c>
      <c r="B40" s="503"/>
      <c r="C40" s="143">
        <f>C43+C41+C42</f>
        <v>117841358</v>
      </c>
      <c r="D40" s="157">
        <f>D41+D42+D43</f>
        <v>116841358</v>
      </c>
      <c r="E40" s="1022">
        <f>E41+E42+E43</f>
        <v>31036659.41000002</v>
      </c>
      <c r="F40" s="663">
        <f>F43+F41+F42</f>
        <v>114192434.09000002</v>
      </c>
      <c r="G40" s="666">
        <f>G41+G42+G43</f>
        <v>31158884.419999987</v>
      </c>
      <c r="H40" s="518">
        <f>H43+H41+H42</f>
        <v>104641486.85</v>
      </c>
      <c r="I40" s="521">
        <f>I43+I41+I42</f>
        <v>0</v>
      </c>
      <c r="J40" s="143">
        <f t="shared" si="1"/>
        <v>6.804920699969854</v>
      </c>
      <c r="K40" s="143">
        <f t="shared" si="5"/>
        <v>89.55860205767208</v>
      </c>
      <c r="L40" s="157">
        <f>L41+L42+L43</f>
        <v>12199871.15000001</v>
      </c>
      <c r="M40" s="1302"/>
      <c r="N40" s="1185"/>
    </row>
    <row r="41" spans="1:14" ht="18" customHeight="1">
      <c r="A41" s="466" t="s">
        <v>132</v>
      </c>
      <c r="B41" s="466"/>
      <c r="C41" s="147">
        <v>6525469</v>
      </c>
      <c r="D41" s="158">
        <f>C41</f>
        <v>6525469</v>
      </c>
      <c r="E41" s="891">
        <f>F41-'[21]Anexo II_DP FUNC'!F41</f>
        <v>168497.68000000017</v>
      </c>
      <c r="F41" s="660">
        <v>4133521.7</v>
      </c>
      <c r="G41" s="891">
        <f>H41-'[21]Anexo II_DP FUNC'!H41</f>
        <v>804802.2799999998</v>
      </c>
      <c r="H41" s="519">
        <v>3202418.59</v>
      </c>
      <c r="I41" s="152">
        <v>0</v>
      </c>
      <c r="J41" s="147">
        <f t="shared" si="1"/>
        <v>0.20825587641255186</v>
      </c>
      <c r="K41" s="147">
        <f t="shared" si="5"/>
        <v>49.07568467492528</v>
      </c>
      <c r="L41" s="148">
        <f>D41-(H41+I41)</f>
        <v>3323050.41</v>
      </c>
      <c r="M41" s="145"/>
      <c r="N41" s="847"/>
    </row>
    <row r="42" spans="1:13" ht="18" customHeight="1">
      <c r="A42" s="466" t="s">
        <v>155</v>
      </c>
      <c r="B42" s="466"/>
      <c r="C42" s="147">
        <v>0</v>
      </c>
      <c r="D42" s="158">
        <f>C42</f>
        <v>0</v>
      </c>
      <c r="E42" s="891">
        <f>F42-'[21]Anexo II_DP FUNC'!F42</f>
        <v>0</v>
      </c>
      <c r="F42" s="660">
        <v>0</v>
      </c>
      <c r="G42" s="891">
        <f>H42-'[21]Anexo II_DP FUNC'!H42</f>
        <v>0</v>
      </c>
      <c r="H42" s="519">
        <v>0</v>
      </c>
      <c r="I42" s="152">
        <f>F42-H42</f>
        <v>0</v>
      </c>
      <c r="J42" s="147">
        <f t="shared" si="1"/>
        <v>0</v>
      </c>
      <c r="K42" s="147">
        <v>0</v>
      </c>
      <c r="L42" s="148">
        <f>D42-(H42+I42)</f>
        <v>0</v>
      </c>
      <c r="M42" s="145"/>
    </row>
    <row r="43" spans="1:13" ht="18" customHeight="1">
      <c r="A43" s="149" t="s">
        <v>156</v>
      </c>
      <c r="B43" s="149"/>
      <c r="C43" s="150">
        <f>158984502-C63</f>
        <v>111315889</v>
      </c>
      <c r="D43" s="151">
        <f>157984502-D63</f>
        <v>110315889</v>
      </c>
      <c r="E43" s="892">
        <f>F43-'[21]Anexo II_DP FUNC'!F43</f>
        <v>30868161.73000002</v>
      </c>
      <c r="F43" s="656">
        <f>145181649.9-F63</f>
        <v>110058912.39000002</v>
      </c>
      <c r="G43" s="892">
        <f>H43-'[21]Anexo II_DP FUNC'!H43</f>
        <v>30354082.139999986</v>
      </c>
      <c r="H43" s="520">
        <f>117889961.33-H63</f>
        <v>101439068.25999999</v>
      </c>
      <c r="I43" s="154">
        <v>0</v>
      </c>
      <c r="J43" s="147">
        <f t="shared" si="1"/>
        <v>6.596664823557301</v>
      </c>
      <c r="K43" s="147">
        <f t="shared" si="5"/>
        <v>91.95327090189156</v>
      </c>
      <c r="L43" s="151">
        <f>D43-(H43+I43)</f>
        <v>8876820.74000001</v>
      </c>
      <c r="M43" s="145"/>
    </row>
    <row r="44" spans="1:14" s="138" customFormat="1" ht="18" customHeight="1">
      <c r="A44" s="503" t="s">
        <v>157</v>
      </c>
      <c r="B44" s="473"/>
      <c r="C44" s="163">
        <f>SUM(C45:C54)</f>
        <v>627745994</v>
      </c>
      <c r="D44" s="163">
        <f aca="true" t="shared" si="8" ref="D44:I44">SUM(D45:D54)</f>
        <v>641245994.0000001</v>
      </c>
      <c r="E44" s="664">
        <f t="shared" si="8"/>
        <v>44681247.460000016</v>
      </c>
      <c r="F44" s="664">
        <f t="shared" si="8"/>
        <v>581205718.6500001</v>
      </c>
      <c r="G44" s="664">
        <f>SUM(G45:G54)</f>
        <v>104906558.77999999</v>
      </c>
      <c r="H44" s="163">
        <f t="shared" si="8"/>
        <v>451638695.13</v>
      </c>
      <c r="I44" s="163">
        <f t="shared" si="8"/>
        <v>0</v>
      </c>
      <c r="J44" s="143">
        <f t="shared" si="1"/>
        <v>29.370430389651048</v>
      </c>
      <c r="K44" s="143">
        <f t="shared" si="5"/>
        <v>70.4314255926564</v>
      </c>
      <c r="L44" s="163">
        <f>SUM(L45:L54)</f>
        <v>189607298.87</v>
      </c>
      <c r="M44" s="502"/>
      <c r="N44" s="146"/>
    </row>
    <row r="45" spans="1:13" ht="18" customHeight="1">
      <c r="A45" s="1350" t="s">
        <v>138</v>
      </c>
      <c r="B45" s="1350"/>
      <c r="C45" s="147">
        <v>0</v>
      </c>
      <c r="D45" s="147">
        <f>C45</f>
        <v>0</v>
      </c>
      <c r="E45" s="891">
        <f>F45-'[21]Anexo II_DP FUNC'!F45</f>
        <v>0</v>
      </c>
      <c r="F45" s="859">
        <v>0</v>
      </c>
      <c r="G45" s="891">
        <f>H45-'[21]Anexo II_DP FUNC'!H45</f>
        <v>0</v>
      </c>
      <c r="H45" s="147">
        <v>0</v>
      </c>
      <c r="I45" s="147">
        <v>0</v>
      </c>
      <c r="J45" s="148">
        <f aca="true" t="shared" si="9" ref="J45:J77">((H45+I45)/($H$132+$I$132))*100</f>
        <v>0</v>
      </c>
      <c r="K45" s="147">
        <v>0</v>
      </c>
      <c r="L45" s="148">
        <f aca="true" t="shared" si="10" ref="L45:L54">D45-(H45+I45)</f>
        <v>0</v>
      </c>
      <c r="M45" s="145"/>
    </row>
    <row r="46" spans="1:14" s="1070" customFormat="1" ht="18" customHeight="1">
      <c r="A46" s="1068" t="s">
        <v>132</v>
      </c>
      <c r="B46" s="1068"/>
      <c r="C46" s="1062">
        <v>231827468</v>
      </c>
      <c r="D46" s="1062">
        <v>235649113.72</v>
      </c>
      <c r="E46" s="891">
        <f>F46-'[21]Anexo II_DP FUNC'!F46</f>
        <v>3857711.6599999964</v>
      </c>
      <c r="F46" s="1069">
        <v>229680101.57</v>
      </c>
      <c r="G46" s="891">
        <f>H46-'[21]Anexo II_DP FUNC'!H46</f>
        <v>37741863.42999999</v>
      </c>
      <c r="H46" s="1062">
        <v>167776127.14</v>
      </c>
      <c r="I46" s="1062">
        <v>0</v>
      </c>
      <c r="J46" s="1062">
        <f t="shared" si="9"/>
        <v>10.910617527562012</v>
      </c>
      <c r="K46" s="1062">
        <f t="shared" si="5"/>
        <v>71.19743609108278</v>
      </c>
      <c r="L46" s="1063">
        <f t="shared" si="10"/>
        <v>67872986.58000001</v>
      </c>
      <c r="M46" s="1066"/>
      <c r="N46" s="1067"/>
    </row>
    <row r="47" spans="1:13" ht="18" customHeight="1">
      <c r="A47" s="466" t="s">
        <v>141</v>
      </c>
      <c r="B47" s="466"/>
      <c r="C47" s="147">
        <v>0</v>
      </c>
      <c r="D47" s="147">
        <v>0</v>
      </c>
      <c r="E47" s="891">
        <f>F47-'[21]Anexo II_DP FUNC'!F47</f>
        <v>0</v>
      </c>
      <c r="F47" s="859">
        <v>0</v>
      </c>
      <c r="G47" s="891">
        <f>H47-'[21]Anexo II_DP FUNC'!H47</f>
        <v>0</v>
      </c>
      <c r="H47" s="147">
        <f>F47</f>
        <v>0</v>
      </c>
      <c r="I47" s="147">
        <f>F47-H47</f>
        <v>0</v>
      </c>
      <c r="J47" s="148">
        <f t="shared" si="9"/>
        <v>0</v>
      </c>
      <c r="K47" s="147" t="e">
        <f>((H47+I47)/D47)*100</f>
        <v>#DIV/0!</v>
      </c>
      <c r="L47" s="148">
        <f t="shared" si="10"/>
        <v>0</v>
      </c>
      <c r="M47" s="145"/>
    </row>
    <row r="48" spans="1:13" ht="18" customHeight="1">
      <c r="A48" s="466" t="s">
        <v>624</v>
      </c>
      <c r="B48" s="466"/>
      <c r="C48" s="147">
        <v>0</v>
      </c>
      <c r="D48" s="147">
        <v>0</v>
      </c>
      <c r="E48" s="891">
        <f>F48-'[21]Anexo II_DP FUNC'!F48</f>
        <v>0</v>
      </c>
      <c r="F48" s="859">
        <v>0</v>
      </c>
      <c r="G48" s="891">
        <f>H48-'[21]Anexo II_DP FUNC'!H48</f>
        <v>0</v>
      </c>
      <c r="H48" s="147">
        <v>0</v>
      </c>
      <c r="I48" s="147">
        <v>0</v>
      </c>
      <c r="J48" s="148">
        <f t="shared" si="9"/>
        <v>0</v>
      </c>
      <c r="K48" s="147" t="e">
        <f>((H48+I48)/D48)*100</f>
        <v>#DIV/0!</v>
      </c>
      <c r="L48" s="148">
        <f t="shared" si="10"/>
        <v>0</v>
      </c>
      <c r="M48" s="145"/>
    </row>
    <row r="49" spans="1:13" ht="18" customHeight="1">
      <c r="A49" s="466" t="s">
        <v>142</v>
      </c>
      <c r="B49" s="466"/>
      <c r="C49" s="1062">
        <v>890402</v>
      </c>
      <c r="D49" s="147">
        <v>605534.61</v>
      </c>
      <c r="E49" s="891">
        <f>F49-'[21]Anexo II_DP FUNC'!F49</f>
        <v>0</v>
      </c>
      <c r="F49" s="859">
        <v>174620</v>
      </c>
      <c r="G49" s="891">
        <f>H49-'[21]Anexo II_DP FUNC'!H49</f>
        <v>6780</v>
      </c>
      <c r="H49" s="147">
        <v>161620</v>
      </c>
      <c r="I49" s="147">
        <v>0</v>
      </c>
      <c r="J49" s="148">
        <f t="shared" si="9"/>
        <v>0.010510279590213294</v>
      </c>
      <c r="K49" s="147">
        <f>((H49+I49)/D49)*100</f>
        <v>26.690464480634724</v>
      </c>
      <c r="L49" s="148">
        <f t="shared" si="10"/>
        <v>443914.61</v>
      </c>
      <c r="M49" s="145"/>
    </row>
    <row r="50" spans="1:13" ht="18" customHeight="1">
      <c r="A50" s="466" t="s">
        <v>158</v>
      </c>
      <c r="B50" s="466"/>
      <c r="C50" s="147">
        <v>41914052</v>
      </c>
      <c r="D50" s="147">
        <v>38359963.2</v>
      </c>
      <c r="E50" s="891">
        <f>F50-'[21]Anexo II_DP FUNC'!F50</f>
        <v>4287482.940000005</v>
      </c>
      <c r="F50" s="660">
        <v>34276978.59</v>
      </c>
      <c r="G50" s="891">
        <f>H50-'[21]Anexo II_DP FUNC'!H50</f>
        <v>7522828.260000002</v>
      </c>
      <c r="H50" s="147">
        <v>26852243.37</v>
      </c>
      <c r="I50" s="147">
        <v>0</v>
      </c>
      <c r="J50" s="147">
        <f t="shared" si="9"/>
        <v>1.7462231496296947</v>
      </c>
      <c r="K50" s="147">
        <f t="shared" si="5"/>
        <v>70.00070159087119</v>
      </c>
      <c r="L50" s="148">
        <f t="shared" si="10"/>
        <v>11507719.830000002</v>
      </c>
      <c r="M50" s="145"/>
    </row>
    <row r="51" spans="1:13" ht="18" customHeight="1">
      <c r="A51" s="1360" t="s">
        <v>159</v>
      </c>
      <c r="B51" s="1360"/>
      <c r="C51" s="147">
        <v>321816909</v>
      </c>
      <c r="D51" s="147">
        <v>335463134.4</v>
      </c>
      <c r="E51" s="891">
        <f>F51-'[21]Anexo II_DP FUNC'!F51</f>
        <v>35283195.58000001</v>
      </c>
      <c r="F51" s="660">
        <v>288092362.31</v>
      </c>
      <c r="G51" s="891">
        <f>H51-'[21]Anexo II_DP FUNC'!H51</f>
        <v>50585804.07999998</v>
      </c>
      <c r="H51" s="147">
        <v>234117170.95</v>
      </c>
      <c r="I51" s="147">
        <v>0</v>
      </c>
      <c r="J51" s="147">
        <f t="shared" si="9"/>
        <v>15.224829374794341</v>
      </c>
      <c r="K51" s="147">
        <f t="shared" si="5"/>
        <v>69.7892396935763</v>
      </c>
      <c r="L51" s="148">
        <f t="shared" si="10"/>
        <v>101345963.44999999</v>
      </c>
      <c r="M51" s="145"/>
    </row>
    <row r="52" spans="1:13" ht="18" customHeight="1">
      <c r="A52" s="1360" t="s">
        <v>603</v>
      </c>
      <c r="B52" s="1360"/>
      <c r="C52" s="147">
        <v>17192200</v>
      </c>
      <c r="D52" s="147">
        <v>17031601.2</v>
      </c>
      <c r="E52" s="891">
        <f>F52-'[21]Anexo II_DP FUNC'!F52</f>
        <v>357258.5399999991</v>
      </c>
      <c r="F52" s="660">
        <v>16894480.08</v>
      </c>
      <c r="G52" s="891">
        <f>H52-'[21]Anexo II_DP FUNC'!H52</f>
        <v>6129981.73</v>
      </c>
      <c r="H52" s="147">
        <v>13446459.81</v>
      </c>
      <c r="I52" s="147">
        <v>0</v>
      </c>
      <c r="J52" s="147">
        <f t="shared" si="9"/>
        <v>0.8744341795672955</v>
      </c>
      <c r="K52" s="147">
        <f t="shared" si="5"/>
        <v>78.95006260480079</v>
      </c>
      <c r="L52" s="148">
        <f t="shared" si="10"/>
        <v>3585141.3899999987</v>
      </c>
      <c r="M52" s="145"/>
    </row>
    <row r="53" spans="1:13" ht="18" customHeight="1">
      <c r="A53" s="1360" t="s">
        <v>160</v>
      </c>
      <c r="B53" s="1360"/>
      <c r="C53" s="147">
        <v>1104261</v>
      </c>
      <c r="D53" s="147">
        <v>915232.2</v>
      </c>
      <c r="E53" s="891">
        <f>F53-'[21]Anexo II_DP FUNC'!F53</f>
        <v>0</v>
      </c>
      <c r="F53" s="660">
        <v>665334.5</v>
      </c>
      <c r="G53" s="891">
        <f>H53-'[21]Anexo II_DP FUNC'!H53</f>
        <v>61701.29999999999</v>
      </c>
      <c r="H53" s="147">
        <v>444840.68</v>
      </c>
      <c r="I53" s="147">
        <v>0</v>
      </c>
      <c r="J53" s="147">
        <f t="shared" si="9"/>
        <v>0.02892834995607352</v>
      </c>
      <c r="K53" s="147">
        <f t="shared" si="5"/>
        <v>48.60413346470983</v>
      </c>
      <c r="L53" s="148">
        <f t="shared" si="10"/>
        <v>470391.51999999996</v>
      </c>
      <c r="M53" s="145"/>
    </row>
    <row r="54" spans="1:13" ht="18" customHeight="1">
      <c r="A54" s="149" t="s">
        <v>161</v>
      </c>
      <c r="B54" s="505"/>
      <c r="C54" s="150">
        <v>13000702</v>
      </c>
      <c r="D54" s="150">
        <v>13221414.67</v>
      </c>
      <c r="E54" s="891">
        <f>F54-'[21]Anexo II_DP FUNC'!F54</f>
        <v>895598.7400000002</v>
      </c>
      <c r="F54" s="661">
        <v>11421841.6</v>
      </c>
      <c r="G54" s="891">
        <f>H54-'[21]Anexo II_DP FUNC'!H54</f>
        <v>2857599.9799999995</v>
      </c>
      <c r="H54" s="150">
        <v>8840233.18</v>
      </c>
      <c r="I54" s="150">
        <v>0</v>
      </c>
      <c r="J54" s="147">
        <f t="shared" si="9"/>
        <v>0.5748875285514191</v>
      </c>
      <c r="K54" s="147">
        <f t="shared" si="5"/>
        <v>66.86299008576515</v>
      </c>
      <c r="L54" s="153">
        <f t="shared" si="10"/>
        <v>4381181.49</v>
      </c>
      <c r="M54" s="145"/>
    </row>
    <row r="55" spans="1:14" s="138" customFormat="1" ht="18" customHeight="1">
      <c r="A55" s="1361" t="s">
        <v>162</v>
      </c>
      <c r="B55" s="1361"/>
      <c r="C55" s="143">
        <f aca="true" t="shared" si="11" ref="C55:I55">C59+C58+C56+C57</f>
        <v>2209730</v>
      </c>
      <c r="D55" s="143">
        <f t="shared" si="11"/>
        <v>1217730</v>
      </c>
      <c r="E55" s="666">
        <f t="shared" si="11"/>
        <v>0</v>
      </c>
      <c r="F55" s="862">
        <f t="shared" si="11"/>
        <v>673545.66</v>
      </c>
      <c r="G55" s="667">
        <f>G59+G58+G56+G57</f>
        <v>194885.89999999997</v>
      </c>
      <c r="H55" s="143">
        <f t="shared" si="11"/>
        <v>644505.71</v>
      </c>
      <c r="I55" s="143">
        <f t="shared" si="11"/>
        <v>0</v>
      </c>
      <c r="J55" s="143">
        <f t="shared" si="9"/>
        <v>0.04191272868202529</v>
      </c>
      <c r="K55" s="143">
        <f t="shared" si="5"/>
        <v>52.92681546812511</v>
      </c>
      <c r="L55" s="157">
        <f>L56+L57+L58+L59</f>
        <v>573224.29</v>
      </c>
      <c r="M55" s="1302"/>
      <c r="N55" s="146"/>
    </row>
    <row r="56" spans="1:14" s="138" customFormat="1" ht="18" customHeight="1">
      <c r="A56" s="1360" t="s">
        <v>163</v>
      </c>
      <c r="B56" s="1360"/>
      <c r="C56" s="147">
        <v>41000</v>
      </c>
      <c r="D56" s="147">
        <f>C56</f>
        <v>41000</v>
      </c>
      <c r="E56" s="891">
        <f>F56-'[21]Anexo II_DP FUNC'!F56</f>
        <v>0</v>
      </c>
      <c r="F56" s="859">
        <v>0</v>
      </c>
      <c r="G56" s="891">
        <f>H56-'[21]Anexo II_DP FUNC'!H56</f>
        <v>0</v>
      </c>
      <c r="H56" s="147">
        <v>0</v>
      </c>
      <c r="I56" s="147">
        <v>0</v>
      </c>
      <c r="J56" s="147">
        <f t="shared" si="9"/>
        <v>0</v>
      </c>
      <c r="K56" s="147">
        <f t="shared" si="5"/>
        <v>0</v>
      </c>
      <c r="L56" s="148">
        <f>D56-(H56+I56)</f>
        <v>41000</v>
      </c>
      <c r="M56" s="502"/>
      <c r="N56" s="146"/>
    </row>
    <row r="57" spans="1:14" s="138" customFormat="1" ht="18" customHeight="1">
      <c r="A57" s="1360" t="s">
        <v>164</v>
      </c>
      <c r="B57" s="1360"/>
      <c r="C57" s="147">
        <v>1457290</v>
      </c>
      <c r="D57" s="147">
        <v>1115290</v>
      </c>
      <c r="E57" s="891">
        <f>F57-'[21]Anexo II_DP FUNC'!F57</f>
        <v>0</v>
      </c>
      <c r="F57" s="859">
        <v>673545.66</v>
      </c>
      <c r="G57" s="891">
        <f>H57-'[21]Anexo II_DP FUNC'!H57</f>
        <v>194885.89999999997</v>
      </c>
      <c r="H57" s="147">
        <v>644505.71</v>
      </c>
      <c r="I57" s="147">
        <v>0</v>
      </c>
      <c r="J57" s="147">
        <f t="shared" si="9"/>
        <v>0.04191272868202529</v>
      </c>
      <c r="K57" s="147">
        <f t="shared" si="5"/>
        <v>57.78817258291566</v>
      </c>
      <c r="L57" s="148">
        <f>D57-(H57+I57)</f>
        <v>470784.29000000004</v>
      </c>
      <c r="M57" s="502"/>
      <c r="N57" s="146"/>
    </row>
    <row r="58" spans="1:13" ht="18" customHeight="1">
      <c r="A58" s="1360" t="s">
        <v>165</v>
      </c>
      <c r="B58" s="1360"/>
      <c r="C58" s="147">
        <v>670440</v>
      </c>
      <c r="D58" s="147">
        <v>20440</v>
      </c>
      <c r="E58" s="891">
        <f>F58-'[21]Anexo II_DP FUNC'!F58</f>
        <v>0</v>
      </c>
      <c r="F58" s="859">
        <v>0</v>
      </c>
      <c r="G58" s="891">
        <f>H58-'[21]Anexo II_DP FUNC'!H58</f>
        <v>0</v>
      </c>
      <c r="H58" s="147">
        <v>0</v>
      </c>
      <c r="I58" s="147">
        <v>0</v>
      </c>
      <c r="J58" s="147">
        <f t="shared" si="9"/>
        <v>0</v>
      </c>
      <c r="K58" s="147">
        <f t="shared" si="5"/>
        <v>0</v>
      </c>
      <c r="L58" s="148">
        <f>D58-(H58+I58)</f>
        <v>20440</v>
      </c>
      <c r="M58" s="145"/>
    </row>
    <row r="59" spans="1:14" ht="18" customHeight="1">
      <c r="A59" s="1359" t="s">
        <v>166</v>
      </c>
      <c r="B59" s="1359"/>
      <c r="C59" s="147">
        <v>41000</v>
      </c>
      <c r="D59" s="150">
        <f>C59</f>
        <v>41000</v>
      </c>
      <c r="E59" s="891">
        <f>F59-'[21]Anexo II_DP FUNC'!F59</f>
        <v>0</v>
      </c>
      <c r="F59" s="860">
        <v>0</v>
      </c>
      <c r="G59" s="891">
        <f>H59-'[21]Anexo II_DP FUNC'!H59</f>
        <v>0</v>
      </c>
      <c r="H59" s="1163">
        <v>0</v>
      </c>
      <c r="I59" s="147">
        <v>0</v>
      </c>
      <c r="J59" s="147">
        <f t="shared" si="9"/>
        <v>0</v>
      </c>
      <c r="K59" s="147">
        <f t="shared" si="5"/>
        <v>0</v>
      </c>
      <c r="L59" s="148">
        <f>D59-(H59+I59)</f>
        <v>41000</v>
      </c>
      <c r="M59" s="145"/>
      <c r="N59" s="1025"/>
    </row>
    <row r="60" spans="1:13" s="146" customFormat="1" ht="18" customHeight="1">
      <c r="A60" s="1349" t="s">
        <v>167</v>
      </c>
      <c r="B60" s="1349"/>
      <c r="C60" s="159">
        <f aca="true" t="shared" si="12" ref="C60:I60">SUM(C61:C68)</f>
        <v>525804470</v>
      </c>
      <c r="D60" s="160">
        <f t="shared" si="12"/>
        <v>538831574.87</v>
      </c>
      <c r="E60" s="668">
        <f>SUM(E61:E68)</f>
        <v>75024889.21</v>
      </c>
      <c r="F60" s="669">
        <f t="shared" si="12"/>
        <v>326793595.63000005</v>
      </c>
      <c r="G60" s="668">
        <f>SUM(G61:G68)</f>
        <v>69268824.27999999</v>
      </c>
      <c r="H60" s="522">
        <f t="shared" si="12"/>
        <v>277773299.96</v>
      </c>
      <c r="I60" s="168">
        <f t="shared" si="12"/>
        <v>0</v>
      </c>
      <c r="J60" s="160">
        <f t="shared" si="9"/>
        <v>18.063822826851766</v>
      </c>
      <c r="K60" s="159">
        <f t="shared" si="5"/>
        <v>51.5510435755396</v>
      </c>
      <c r="L60" s="160">
        <f>SUM(L61:L68)</f>
        <v>261058274.91000003</v>
      </c>
      <c r="M60" s="502"/>
    </row>
    <row r="61" spans="1:13" s="126" customFormat="1" ht="18" customHeight="1">
      <c r="A61" s="466" t="s">
        <v>132</v>
      </c>
      <c r="B61" s="503"/>
      <c r="C61" s="161">
        <v>11788595</v>
      </c>
      <c r="D61" s="162">
        <f>C61</f>
        <v>11788595</v>
      </c>
      <c r="E61" s="891">
        <f>F61-'[21]Anexo II_DP FUNC'!F61</f>
        <v>0</v>
      </c>
      <c r="F61" s="861">
        <v>4213290.48</v>
      </c>
      <c r="G61" s="891">
        <f>H61-'[21]Anexo II_DP FUNC'!H61</f>
        <v>818677.56</v>
      </c>
      <c r="H61" s="1020">
        <v>3459562.74</v>
      </c>
      <c r="I61" s="152">
        <v>0</v>
      </c>
      <c r="J61" s="148">
        <f t="shared" si="9"/>
        <v>0.22497816889793576</v>
      </c>
      <c r="K61" s="147">
        <v>0</v>
      </c>
      <c r="L61" s="148">
        <f aca="true" t="shared" si="13" ref="L61:L68">D61-(H61+I61)</f>
        <v>8329032.26</v>
      </c>
      <c r="M61" s="145"/>
    </row>
    <row r="62" spans="1:13" s="126" customFormat="1" ht="18" customHeight="1">
      <c r="A62" s="1350" t="s">
        <v>155</v>
      </c>
      <c r="B62" s="1350"/>
      <c r="C62" s="161">
        <v>0</v>
      </c>
      <c r="D62" s="162">
        <v>0</v>
      </c>
      <c r="E62" s="891">
        <f>F62-'[21]Anexo II_DP FUNC'!F62</f>
        <v>0</v>
      </c>
      <c r="F62" s="861">
        <v>0</v>
      </c>
      <c r="G62" s="891">
        <f>H62-'[21]Anexo II_DP FUNC'!H62</f>
        <v>0</v>
      </c>
      <c r="H62" s="1020">
        <f>F62</f>
        <v>0</v>
      </c>
      <c r="I62" s="152">
        <f>F62-H62</f>
        <v>0</v>
      </c>
      <c r="J62" s="148">
        <f t="shared" si="9"/>
        <v>0</v>
      </c>
      <c r="K62" s="147">
        <v>0</v>
      </c>
      <c r="L62" s="148">
        <f t="shared" si="13"/>
        <v>0</v>
      </c>
      <c r="M62" s="145"/>
    </row>
    <row r="63" spans="1:13" s="126" customFormat="1" ht="18" customHeight="1">
      <c r="A63" s="1350" t="s">
        <v>156</v>
      </c>
      <c r="B63" s="1350"/>
      <c r="C63" s="1020">
        <v>47668613</v>
      </c>
      <c r="D63" s="162">
        <f>C63</f>
        <v>47668613</v>
      </c>
      <c r="E63" s="891">
        <f>F63-'[21]Anexo II_DP FUNC'!F63</f>
        <v>0</v>
      </c>
      <c r="F63" s="861">
        <v>35122737.51</v>
      </c>
      <c r="G63" s="891">
        <f>H63-'[21]Anexo II_DP FUNC'!H63</f>
        <v>-6487513.509999998</v>
      </c>
      <c r="H63" s="1020">
        <v>16450893.07</v>
      </c>
      <c r="I63" s="152">
        <v>0</v>
      </c>
      <c r="J63" s="148">
        <f t="shared" si="9"/>
        <v>1.0698149095062635</v>
      </c>
      <c r="K63" s="147">
        <v>0</v>
      </c>
      <c r="L63" s="148">
        <f t="shared" si="13"/>
        <v>31217719.93</v>
      </c>
      <c r="M63" s="145"/>
    </row>
    <row r="64" spans="1:13" s="1067" customFormat="1" ht="18" customHeight="1">
      <c r="A64" s="1358" t="s">
        <v>168</v>
      </c>
      <c r="B64" s="1358"/>
      <c r="C64" s="1062">
        <v>380864121</v>
      </c>
      <c r="D64" s="1063">
        <v>397991225.87</v>
      </c>
      <c r="E64" s="891">
        <f>F64-'[21]Anexo II_DP FUNC'!F64</f>
        <v>65532867.56999999</v>
      </c>
      <c r="F64" s="1064">
        <v>242029038.01</v>
      </c>
      <c r="G64" s="891">
        <f>H64-'[21]Anexo II_DP FUNC'!H64</f>
        <v>59400450.57999998</v>
      </c>
      <c r="H64" s="1161">
        <v>215002155.76</v>
      </c>
      <c r="I64" s="1065">
        <v>0</v>
      </c>
      <c r="J64" s="1063">
        <f t="shared" si="9"/>
        <v>13.981764444599602</v>
      </c>
      <c r="K64" s="1062">
        <f aca="true" t="shared" si="14" ref="K64:K77">((H64+I64)/D64)*100</f>
        <v>54.0218330919256</v>
      </c>
      <c r="L64" s="1063">
        <f t="shared" si="13"/>
        <v>182989070.11</v>
      </c>
      <c r="M64" s="1066"/>
    </row>
    <row r="65" spans="1:13" s="126" customFormat="1" ht="18" customHeight="1">
      <c r="A65" s="1350" t="s">
        <v>169</v>
      </c>
      <c r="B65" s="1350"/>
      <c r="C65" s="147">
        <v>74950141</v>
      </c>
      <c r="D65" s="148">
        <v>67750141</v>
      </c>
      <c r="E65" s="891">
        <f>F65-'[21]Anexo II_DP FUNC'!F65</f>
        <v>7566628.150000002</v>
      </c>
      <c r="F65" s="859">
        <v>37268343.59</v>
      </c>
      <c r="G65" s="891">
        <f>H65-'[21]Anexo II_DP FUNC'!H65</f>
        <v>13609611.790000003</v>
      </c>
      <c r="H65" s="716">
        <v>34738699.88</v>
      </c>
      <c r="I65" s="152">
        <v>0</v>
      </c>
      <c r="J65" s="148">
        <f t="shared" si="9"/>
        <v>2.259085808311527</v>
      </c>
      <c r="K65" s="147">
        <f t="shared" si="14"/>
        <v>51.27472705923963</v>
      </c>
      <c r="L65" s="148">
        <f t="shared" si="13"/>
        <v>33011441.119999997</v>
      </c>
      <c r="M65" s="145"/>
    </row>
    <row r="66" spans="1:13" s="126" customFormat="1" ht="18" customHeight="1">
      <c r="A66" s="1350" t="s">
        <v>170</v>
      </c>
      <c r="B66" s="1350"/>
      <c r="C66" s="147">
        <v>6067000</v>
      </c>
      <c r="D66" s="148">
        <v>9667000</v>
      </c>
      <c r="E66" s="891">
        <f>F66-'[21]Anexo II_DP FUNC'!F66</f>
        <v>1447786.9099999992</v>
      </c>
      <c r="F66" s="859">
        <v>5864969.85</v>
      </c>
      <c r="G66" s="891">
        <f>H66-'[21]Anexo II_DP FUNC'!H66</f>
        <v>1449991.2800000003</v>
      </c>
      <c r="H66" s="716">
        <v>5826772.32</v>
      </c>
      <c r="I66" s="152">
        <v>0</v>
      </c>
      <c r="J66" s="148">
        <f t="shared" si="9"/>
        <v>0.37891972646773764</v>
      </c>
      <c r="K66" s="147">
        <f>((H66+I66)/D66)*100</f>
        <v>60.2748765904624</v>
      </c>
      <c r="L66" s="148">
        <f t="shared" si="13"/>
        <v>3840227.6799999997</v>
      </c>
      <c r="M66" s="145"/>
    </row>
    <row r="67" spans="1:12" s="126" customFormat="1" ht="15" customHeight="1">
      <c r="A67" s="1350" t="s">
        <v>171</v>
      </c>
      <c r="B67" s="1350"/>
      <c r="C67" s="147">
        <v>4230000</v>
      </c>
      <c r="D67" s="148">
        <v>3730000</v>
      </c>
      <c r="E67" s="891">
        <f>F67-'[21]Anexo II_DP FUNC'!F67</f>
        <v>477606.57999999984</v>
      </c>
      <c r="F67" s="859">
        <v>2295216.19</v>
      </c>
      <c r="G67" s="891">
        <f>H67-'[21]Anexo II_DP FUNC'!H67</f>
        <v>477606.57999999984</v>
      </c>
      <c r="H67" s="716">
        <v>2295216.19</v>
      </c>
      <c r="I67" s="152">
        <v>0</v>
      </c>
      <c r="J67" s="148">
        <f t="shared" si="9"/>
        <v>0.14925976906870508</v>
      </c>
      <c r="K67" s="147">
        <f>((H67+I67)/D67)*100</f>
        <v>61.53394611260053</v>
      </c>
      <c r="L67" s="148">
        <f t="shared" si="13"/>
        <v>1434783.81</v>
      </c>
    </row>
    <row r="68" spans="1:13" s="126" customFormat="1" ht="18" customHeight="1">
      <c r="A68" s="1345" t="s">
        <v>172</v>
      </c>
      <c r="B68" s="1345"/>
      <c r="C68" s="150">
        <v>236000</v>
      </c>
      <c r="D68" s="153">
        <f>C68</f>
        <v>236000</v>
      </c>
      <c r="E68" s="891">
        <f>F68-'[21]Anexo II_DP FUNC'!F68</f>
        <v>0</v>
      </c>
      <c r="F68" s="860">
        <v>0</v>
      </c>
      <c r="G68" s="891">
        <f>H68-'[21]Anexo II_DP FUNC'!H68</f>
        <v>0</v>
      </c>
      <c r="H68" s="1162">
        <v>0</v>
      </c>
      <c r="I68" s="154">
        <f>F68-H68</f>
        <v>0</v>
      </c>
      <c r="J68" s="150">
        <f t="shared" si="9"/>
        <v>0</v>
      </c>
      <c r="K68" s="150">
        <f>((H68+I68)/D68)*100</f>
        <v>0</v>
      </c>
      <c r="L68" s="153">
        <f t="shared" si="13"/>
        <v>236000</v>
      </c>
      <c r="M68" s="145"/>
    </row>
    <row r="69" spans="1:13" s="146" customFormat="1" ht="18" customHeight="1">
      <c r="A69" s="1362" t="s">
        <v>173</v>
      </c>
      <c r="B69" s="1362"/>
      <c r="C69" s="163">
        <f aca="true" t="shared" si="15" ref="C69:I69">C72+C73+C70+C71</f>
        <v>52663011</v>
      </c>
      <c r="D69" s="163">
        <f t="shared" si="15"/>
        <v>52854011</v>
      </c>
      <c r="E69" s="670">
        <f t="shared" si="15"/>
        <v>25346.379999999423</v>
      </c>
      <c r="F69" s="671">
        <f t="shared" si="15"/>
        <v>29530043.38</v>
      </c>
      <c r="G69" s="670">
        <f>G72+G73+G70+G71</f>
        <v>5678449.680000002</v>
      </c>
      <c r="H69" s="518">
        <f>H70+H71+H72+H73</f>
        <v>24137435.17</v>
      </c>
      <c r="I69" s="144">
        <f t="shared" si="15"/>
        <v>0</v>
      </c>
      <c r="J69" s="163">
        <f t="shared" si="9"/>
        <v>1.5696769720786259</v>
      </c>
      <c r="K69" s="163">
        <f t="shared" si="14"/>
        <v>45.66812378723727</v>
      </c>
      <c r="L69" s="163">
        <f>L70+L71+L72+L73</f>
        <v>28716575.83</v>
      </c>
      <c r="M69" s="502"/>
    </row>
    <row r="70" spans="1:13" ht="18" customHeight="1">
      <c r="A70" s="1360" t="s">
        <v>132</v>
      </c>
      <c r="B70" s="1360"/>
      <c r="C70" s="147">
        <v>6236523</v>
      </c>
      <c r="D70" s="158">
        <v>5906523</v>
      </c>
      <c r="E70" s="891">
        <f>F70-'[21]Anexo II_DP FUNC'!F70</f>
        <v>10021.739999999292</v>
      </c>
      <c r="F70" s="660">
        <v>4782210.47</v>
      </c>
      <c r="G70" s="891">
        <f>H70-'[21]Anexo II_DP FUNC'!H70</f>
        <v>779037.3900000001</v>
      </c>
      <c r="H70" s="519">
        <v>3737279.31</v>
      </c>
      <c r="I70" s="152">
        <v>0</v>
      </c>
      <c r="J70" s="147">
        <f t="shared" si="9"/>
        <v>0.24303830252951011</v>
      </c>
      <c r="K70" s="147">
        <f t="shared" si="14"/>
        <v>63.273762076267204</v>
      </c>
      <c r="L70" s="148">
        <f>D70-(H70+I70)</f>
        <v>2169243.69</v>
      </c>
      <c r="M70" s="145"/>
    </row>
    <row r="71" spans="1:13" ht="18" customHeight="1">
      <c r="A71" s="1360" t="s">
        <v>142</v>
      </c>
      <c r="B71" s="1360"/>
      <c r="C71" s="147">
        <v>30000</v>
      </c>
      <c r="D71" s="158">
        <f>C71</f>
        <v>30000</v>
      </c>
      <c r="E71" s="891">
        <f>F71-'[21]Anexo II_DP FUNC'!F71</f>
        <v>0</v>
      </c>
      <c r="F71" s="660">
        <v>0</v>
      </c>
      <c r="G71" s="891">
        <f>H71-'[21]Anexo II_DP FUNC'!H71</f>
        <v>0</v>
      </c>
      <c r="H71" s="519">
        <v>0</v>
      </c>
      <c r="I71" s="152">
        <v>0</v>
      </c>
      <c r="J71" s="147">
        <f t="shared" si="9"/>
        <v>0</v>
      </c>
      <c r="K71" s="147">
        <f t="shared" si="14"/>
        <v>0</v>
      </c>
      <c r="L71" s="148">
        <f>D71-(H71+I71)</f>
        <v>30000</v>
      </c>
      <c r="M71" s="145"/>
    </row>
    <row r="72" spans="1:13" ht="18" customHeight="1">
      <c r="A72" s="1360" t="s">
        <v>174</v>
      </c>
      <c r="B72" s="1360"/>
      <c r="C72" s="147">
        <v>20711056</v>
      </c>
      <c r="D72" s="158">
        <v>20907056</v>
      </c>
      <c r="E72" s="891">
        <f>F72-'[21]Anexo II_DP FUNC'!F72</f>
        <v>189366.64000000013</v>
      </c>
      <c r="F72" s="660">
        <v>1656153.56</v>
      </c>
      <c r="G72" s="891">
        <f>H72-'[21]Anexo II_DP FUNC'!H72</f>
        <v>29954.179999999993</v>
      </c>
      <c r="H72" s="519">
        <v>359178.51</v>
      </c>
      <c r="I72" s="152">
        <v>0</v>
      </c>
      <c r="J72" s="147">
        <f t="shared" si="9"/>
        <v>0.023357669613267053</v>
      </c>
      <c r="K72" s="147">
        <f t="shared" si="14"/>
        <v>1.717977461771758</v>
      </c>
      <c r="L72" s="148">
        <f>D72-(H72+I72)</f>
        <v>20547877.49</v>
      </c>
      <c r="M72" s="145"/>
    </row>
    <row r="73" spans="1:13" ht="18" customHeight="1">
      <c r="A73" s="1359" t="s">
        <v>175</v>
      </c>
      <c r="B73" s="1359"/>
      <c r="C73" s="150">
        <v>25685432</v>
      </c>
      <c r="D73" s="151">
        <v>26010432</v>
      </c>
      <c r="E73" s="891">
        <f>F73-'[21]Anexo II_DP FUNC'!F73</f>
        <v>-174042</v>
      </c>
      <c r="F73" s="656">
        <v>23091679.35</v>
      </c>
      <c r="G73" s="891">
        <f>H73-'[21]Anexo II_DP FUNC'!H73</f>
        <v>4869458.110000001</v>
      </c>
      <c r="H73" s="520">
        <v>20040977.35</v>
      </c>
      <c r="I73" s="154">
        <v>0</v>
      </c>
      <c r="J73" s="150">
        <f t="shared" si="9"/>
        <v>1.303280999935849</v>
      </c>
      <c r="K73" s="150">
        <f t="shared" si="14"/>
        <v>77.04976737795052</v>
      </c>
      <c r="L73" s="153">
        <f>D73-(H73+I73)</f>
        <v>5969454.6499999985</v>
      </c>
      <c r="M73" s="145"/>
    </row>
    <row r="74" spans="1:14" s="138" customFormat="1" ht="18" customHeight="1">
      <c r="A74" s="1362" t="s">
        <v>176</v>
      </c>
      <c r="B74" s="1362"/>
      <c r="C74" s="163">
        <f aca="true" t="shared" si="16" ref="C74:H74">C77+C76+C75</f>
        <v>23508288</v>
      </c>
      <c r="D74" s="163">
        <f t="shared" si="16"/>
        <v>23608288</v>
      </c>
      <c r="E74" s="670">
        <f t="shared" si="16"/>
        <v>189051.49000000104</v>
      </c>
      <c r="F74" s="671">
        <f t="shared" si="16"/>
        <v>18989849.97</v>
      </c>
      <c r="G74" s="670">
        <f>G77+G76+G75</f>
        <v>4538792.929999999</v>
      </c>
      <c r="H74" s="844">
        <f t="shared" si="16"/>
        <v>14432168.219999999</v>
      </c>
      <c r="I74" s="163">
        <f>I75+I76+I77</f>
        <v>0</v>
      </c>
      <c r="J74" s="163">
        <f t="shared" si="9"/>
        <v>0.9385355963692049</v>
      </c>
      <c r="K74" s="163">
        <f t="shared" si="14"/>
        <v>61.131786514973044</v>
      </c>
      <c r="L74" s="157">
        <f>L75+L76+L77</f>
        <v>9176119.780000001</v>
      </c>
      <c r="M74" s="502"/>
      <c r="N74" s="146"/>
    </row>
    <row r="75" spans="1:13" ht="18" customHeight="1">
      <c r="A75" s="1360" t="s">
        <v>132</v>
      </c>
      <c r="B75" s="1360"/>
      <c r="C75" s="158">
        <v>2051377</v>
      </c>
      <c r="D75" s="158">
        <f>C75</f>
        <v>2051377</v>
      </c>
      <c r="E75" s="891">
        <f>F75-'[21]Anexo II_DP FUNC'!F75</f>
        <v>0</v>
      </c>
      <c r="F75" s="665">
        <v>1778213.22</v>
      </c>
      <c r="G75" s="891">
        <f>H75-'[21]Anexo II_DP FUNC'!H75</f>
        <v>290365.40000000014</v>
      </c>
      <c r="H75" s="1040">
        <v>1346828.07</v>
      </c>
      <c r="I75" s="147">
        <v>0</v>
      </c>
      <c r="J75" s="147">
        <f t="shared" si="9"/>
        <v>0.08758532097294494</v>
      </c>
      <c r="K75" s="147">
        <f t="shared" si="14"/>
        <v>65.65482941458347</v>
      </c>
      <c r="L75" s="158">
        <f>D75-(H75+I75)</f>
        <v>704548.9299999999</v>
      </c>
      <c r="M75" s="145"/>
    </row>
    <row r="76" spans="1:13" ht="18" customHeight="1">
      <c r="A76" s="466" t="s">
        <v>177</v>
      </c>
      <c r="B76" s="473"/>
      <c r="C76" s="147">
        <v>20541000</v>
      </c>
      <c r="D76" s="158">
        <f>C76</f>
        <v>20541000</v>
      </c>
      <c r="E76" s="891">
        <f>F76-'[21]Anexo II_DP FUNC'!F76</f>
        <v>114636.37000000104</v>
      </c>
      <c r="F76" s="660">
        <v>16875196.37</v>
      </c>
      <c r="G76" s="891">
        <f>H76-'[21]Anexo II_DP FUNC'!H76</f>
        <v>4174012.4099999983</v>
      </c>
      <c r="H76" s="1040">
        <v>12749552.87</v>
      </c>
      <c r="I76" s="147">
        <v>0</v>
      </c>
      <c r="J76" s="147">
        <f t="shared" si="9"/>
        <v>0.8291137564280802</v>
      </c>
      <c r="K76" s="147">
        <f t="shared" si="14"/>
        <v>62.068803222822645</v>
      </c>
      <c r="L76" s="158">
        <f>D76-(H76+I76)</f>
        <v>7791447.130000001</v>
      </c>
      <c r="M76" s="145"/>
    </row>
    <row r="77" spans="1:13" ht="18" customHeight="1">
      <c r="A77" s="1359" t="s">
        <v>145</v>
      </c>
      <c r="B77" s="1359"/>
      <c r="C77" s="150">
        <v>915911</v>
      </c>
      <c r="D77" s="151">
        <v>1015911</v>
      </c>
      <c r="E77" s="892">
        <f>F77-'[21]Anexo II_DP FUNC'!F77</f>
        <v>74415.12</v>
      </c>
      <c r="F77" s="656">
        <v>336440.38</v>
      </c>
      <c r="G77" s="1168">
        <f>H77-'[21]Anexo II_DP FUNC'!H77</f>
        <v>74415.12000000002</v>
      </c>
      <c r="H77" s="1160">
        <v>335787.28</v>
      </c>
      <c r="I77" s="150">
        <v>0</v>
      </c>
      <c r="J77" s="150">
        <f t="shared" si="9"/>
        <v>0.021836518968179907</v>
      </c>
      <c r="K77" s="150">
        <f t="shared" si="14"/>
        <v>33.05282450923359</v>
      </c>
      <c r="L77" s="151">
        <f>D77-(H77+I77)</f>
        <v>680123.72</v>
      </c>
      <c r="M77" s="145"/>
    </row>
    <row r="78" spans="1:14" s="155" customFormat="1" ht="12" customHeight="1">
      <c r="A78" s="466"/>
      <c r="B78" s="466"/>
      <c r="C78" s="148"/>
      <c r="D78" s="148"/>
      <c r="E78" s="148"/>
      <c r="F78" s="148"/>
      <c r="G78" s="148"/>
      <c r="H78" s="591"/>
      <c r="I78" s="148"/>
      <c r="J78" s="1363"/>
      <c r="K78" s="1363"/>
      <c r="L78" s="164"/>
      <c r="M78" s="145"/>
      <c r="N78" s="262"/>
    </row>
    <row r="79" spans="1:14" s="127" customFormat="1" ht="18" customHeight="1">
      <c r="A79" s="1288"/>
      <c r="B79" s="1364" t="s">
        <v>109</v>
      </c>
      <c r="C79" s="1364"/>
      <c r="D79" s="1364"/>
      <c r="E79" s="1289"/>
      <c r="F79" s="1288"/>
      <c r="G79" s="483"/>
      <c r="H79" s="165"/>
      <c r="I79" s="165"/>
      <c r="J79" s="128"/>
      <c r="K79" s="128"/>
      <c r="L79" s="128"/>
      <c r="M79" s="506"/>
      <c r="N79" s="128"/>
    </row>
    <row r="80" spans="1:14" s="127" customFormat="1" ht="15" customHeight="1">
      <c r="A80" s="1288"/>
      <c r="B80" s="1364" t="s">
        <v>110</v>
      </c>
      <c r="C80" s="1364"/>
      <c r="D80" s="1364"/>
      <c r="E80" s="1364"/>
      <c r="F80" s="1364"/>
      <c r="G80" s="483"/>
      <c r="H80" s="165"/>
      <c r="I80" s="165"/>
      <c r="J80" s="886"/>
      <c r="K80" s="886"/>
      <c r="L80" s="886"/>
      <c r="M80" s="506"/>
      <c r="N80" s="128"/>
    </row>
    <row r="81" spans="1:14" s="127" customFormat="1" ht="15" customHeight="1">
      <c r="A81" s="1288"/>
      <c r="B81" s="1364" t="s">
        <v>111</v>
      </c>
      <c r="C81" s="1364"/>
      <c r="D81" s="1364"/>
      <c r="E81" s="1364"/>
      <c r="F81" s="1364"/>
      <c r="G81" s="483"/>
      <c r="H81" s="165"/>
      <c r="I81" s="165"/>
      <c r="J81" s="887" t="str">
        <f>J4</f>
        <v>Publicação: Diário Oficial do Município nº 227</v>
      </c>
      <c r="K81" s="886"/>
      <c r="L81" s="886"/>
      <c r="M81" s="506"/>
      <c r="N81" s="128"/>
    </row>
    <row r="82" spans="1:14" s="127" customFormat="1" ht="15.75" customHeight="1">
      <c r="A82" s="1288"/>
      <c r="B82" s="1364" t="s">
        <v>112</v>
      </c>
      <c r="C82" s="1364"/>
      <c r="D82" s="1364"/>
      <c r="E82" s="1289"/>
      <c r="F82" s="1288"/>
      <c r="G82" s="483"/>
      <c r="H82" s="165"/>
      <c r="I82" s="165"/>
      <c r="J82" s="507" t="str">
        <f>J5</f>
        <v>Data: 26/11/2012</v>
      </c>
      <c r="K82" s="128"/>
      <c r="L82" s="128"/>
      <c r="M82" s="506"/>
      <c r="N82" s="128"/>
    </row>
    <row r="83" spans="1:14" s="133" customFormat="1" ht="21" customHeight="1">
      <c r="A83" s="1346" t="str">
        <f>A5</f>
        <v>Referência: JANEIRO-OUTUBRO/2012; BIMESTRE: SETEMBRO/OUTUBRO/2012</v>
      </c>
      <c r="B83" s="1346"/>
      <c r="C83" s="1346"/>
      <c r="D83" s="1346"/>
      <c r="E83" s="1346"/>
      <c r="F83" s="1346"/>
      <c r="G83" s="129"/>
      <c r="H83" s="129"/>
      <c r="I83" s="129"/>
      <c r="J83" s="129"/>
      <c r="K83" s="129"/>
      <c r="L83" s="132"/>
      <c r="M83" s="486"/>
      <c r="N83" s="487"/>
    </row>
    <row r="84" spans="1:13" ht="13.5" customHeight="1">
      <c r="A84" s="126"/>
      <c r="B84" s="126"/>
      <c r="C84" s="126"/>
      <c r="M84" s="145"/>
    </row>
    <row r="85" spans="1:14" s="136" customFormat="1" ht="12.75">
      <c r="A85" s="488" t="s">
        <v>676</v>
      </c>
      <c r="B85" s="489"/>
      <c r="C85" s="489"/>
      <c r="D85" s="489"/>
      <c r="E85" s="484"/>
      <c r="F85" s="135"/>
      <c r="G85" s="484"/>
      <c r="H85" s="135"/>
      <c r="I85" s="135"/>
      <c r="J85" s="135"/>
      <c r="K85" s="135"/>
      <c r="L85" s="490" t="s">
        <v>662</v>
      </c>
      <c r="M85" s="145"/>
      <c r="N85" s="135"/>
    </row>
    <row r="86" spans="1:14" s="138" customFormat="1" ht="15.75" customHeight="1">
      <c r="A86" s="1347" t="s">
        <v>113</v>
      </c>
      <c r="B86" s="1347"/>
      <c r="C86" s="491" t="s">
        <v>114</v>
      </c>
      <c r="D86" s="492" t="s">
        <v>114</v>
      </c>
      <c r="E86" s="1348" t="s">
        <v>549</v>
      </c>
      <c r="F86" s="1348"/>
      <c r="G86" s="1351" t="s">
        <v>116</v>
      </c>
      <c r="H86" s="1351"/>
      <c r="I86" s="1351"/>
      <c r="J86" s="1351"/>
      <c r="K86" s="1351"/>
      <c r="L86" s="1352" t="s">
        <v>117</v>
      </c>
      <c r="M86" s="493"/>
      <c r="N86" s="146"/>
    </row>
    <row r="87" spans="1:14" s="138" customFormat="1" ht="16.5" customHeight="1">
      <c r="A87" s="1347"/>
      <c r="B87" s="1347"/>
      <c r="C87" s="494"/>
      <c r="D87" s="495"/>
      <c r="E87" s="1348"/>
      <c r="F87" s="1348"/>
      <c r="G87" s="1353" t="s">
        <v>118</v>
      </c>
      <c r="H87" s="1353"/>
      <c r="I87" s="1354" t="s">
        <v>179</v>
      </c>
      <c r="J87" s="496" t="s">
        <v>119</v>
      </c>
      <c r="K87" s="496" t="s">
        <v>119</v>
      </c>
      <c r="L87" s="1352"/>
      <c r="M87" s="493"/>
      <c r="N87" s="146"/>
    </row>
    <row r="88" spans="1:14" s="138" customFormat="1" ht="14.25" customHeight="1">
      <c r="A88" s="1347"/>
      <c r="B88" s="1347"/>
      <c r="C88" s="494" t="s">
        <v>120</v>
      </c>
      <c r="D88" s="495" t="s">
        <v>121</v>
      </c>
      <c r="E88" s="481" t="s">
        <v>122</v>
      </c>
      <c r="F88" s="139" t="s">
        <v>123</v>
      </c>
      <c r="G88" s="481" t="s">
        <v>122</v>
      </c>
      <c r="H88" s="139" t="s">
        <v>123</v>
      </c>
      <c r="I88" s="1354"/>
      <c r="J88" s="1355" t="s">
        <v>180</v>
      </c>
      <c r="K88" s="496"/>
      <c r="L88" s="1352"/>
      <c r="M88" s="146"/>
      <c r="N88" s="146"/>
    </row>
    <row r="89" spans="1:14" s="138" customFormat="1" ht="15" customHeight="1">
      <c r="A89" s="497"/>
      <c r="B89" s="498"/>
      <c r="C89" s="498"/>
      <c r="D89" s="499" t="s">
        <v>125</v>
      </c>
      <c r="E89" s="482"/>
      <c r="F89" s="140"/>
      <c r="G89" s="482"/>
      <c r="H89" s="140" t="s">
        <v>126</v>
      </c>
      <c r="I89" s="1354"/>
      <c r="J89" s="1355"/>
      <c r="K89" s="500" t="s">
        <v>181</v>
      </c>
      <c r="L89" s="140" t="s">
        <v>128</v>
      </c>
      <c r="M89" s="146"/>
      <c r="N89" s="146"/>
    </row>
    <row r="90" spans="1:14" s="138" customFormat="1" ht="18" customHeight="1">
      <c r="A90" s="1362" t="s">
        <v>182</v>
      </c>
      <c r="B90" s="1362"/>
      <c r="C90" s="159">
        <f>C91+C92+C93+C94+C96+C95</f>
        <v>152681942</v>
      </c>
      <c r="D90" s="159">
        <f>D91+D92+D93+D94+D96+D95</f>
        <v>142504681.16</v>
      </c>
      <c r="E90" s="159">
        <f>E91+E92+E93+E94+E96+E95</f>
        <v>2192294.6099999957</v>
      </c>
      <c r="F90" s="159">
        <f>F91+F92+F93+F94+F96+F95</f>
        <v>95065718.11999999</v>
      </c>
      <c r="G90" s="159">
        <f>G91+G92+G93+G94+G96+G95</f>
        <v>12596771.139999999</v>
      </c>
      <c r="H90" s="159">
        <f>H91+H92+H93+H94+H95+H96</f>
        <v>71252962.19</v>
      </c>
      <c r="I90" s="159">
        <f>I91+I92+I93+I94+I95+I96</f>
        <v>0</v>
      </c>
      <c r="J90" s="159">
        <f aca="true" t="shared" si="17" ref="J90:J96">((H90+I90)/($H$132+$I$132))*100</f>
        <v>4.633637880508578</v>
      </c>
      <c r="K90" s="159">
        <f>((H90+I90)/D90)*100</f>
        <v>50.00043620321447</v>
      </c>
      <c r="L90" s="1303">
        <f>SUM(L91:L96)</f>
        <v>71251718.97</v>
      </c>
      <c r="M90" s="1302"/>
      <c r="N90" s="146"/>
    </row>
    <row r="91" spans="1:13" ht="18" customHeight="1">
      <c r="A91" s="466" t="s">
        <v>138</v>
      </c>
      <c r="B91" s="473"/>
      <c r="C91" s="147">
        <v>0</v>
      </c>
      <c r="D91" s="147">
        <v>0</v>
      </c>
      <c r="E91" s="891">
        <f>F91-'[21]Anexo II_DP FUNC'!F91</f>
        <v>0</v>
      </c>
      <c r="F91" s="660">
        <v>0</v>
      </c>
      <c r="G91" s="891">
        <f>H91-'[21]Anexo II_DP FUNC'!H91</f>
        <v>0</v>
      </c>
      <c r="H91" s="147">
        <v>0</v>
      </c>
      <c r="I91" s="147">
        <f>F91-H91</f>
        <v>0</v>
      </c>
      <c r="J91" s="147">
        <f t="shared" si="17"/>
        <v>0</v>
      </c>
      <c r="K91" s="147">
        <v>0</v>
      </c>
      <c r="L91" s="148">
        <f aca="true" t="shared" si="18" ref="L91:L96">D91-(H91+I91)</f>
        <v>0</v>
      </c>
      <c r="M91" s="145"/>
    </row>
    <row r="92" spans="1:13" ht="18" customHeight="1">
      <c r="A92" s="1360" t="s">
        <v>132</v>
      </c>
      <c r="B92" s="1360"/>
      <c r="C92" s="147">
        <v>58107335</v>
      </c>
      <c r="D92" s="147">
        <v>52213938.56</v>
      </c>
      <c r="E92" s="891">
        <f>F92-'[21]Anexo II_DP FUNC'!F92</f>
        <v>1740892.4499999955</v>
      </c>
      <c r="F92" s="665">
        <v>44078902.05</v>
      </c>
      <c r="G92" s="1195">
        <f>H92-'[21]Anexo II_DP FUNC'!H92</f>
        <v>6349560.18</v>
      </c>
      <c r="H92" s="152">
        <v>29369643.75</v>
      </c>
      <c r="I92" s="147">
        <v>0</v>
      </c>
      <c r="J92" s="147">
        <f t="shared" si="17"/>
        <v>1.9099317366505406</v>
      </c>
      <c r="K92" s="147">
        <f>((H92+I92)/D92)*100</f>
        <v>56.248665701115044</v>
      </c>
      <c r="L92" s="148">
        <f t="shared" si="18"/>
        <v>22844294.810000002</v>
      </c>
      <c r="M92" s="145"/>
    </row>
    <row r="93" spans="1:13" ht="18" customHeight="1">
      <c r="A93" s="1360" t="s">
        <v>183</v>
      </c>
      <c r="B93" s="1360"/>
      <c r="C93" s="147">
        <v>8305000</v>
      </c>
      <c r="D93" s="147">
        <v>6416385.6</v>
      </c>
      <c r="E93" s="891">
        <f>F93-'[21]Anexo II_DP FUNC'!F93</f>
        <v>0</v>
      </c>
      <c r="F93" s="665">
        <v>4955957.51</v>
      </c>
      <c r="G93" s="1195">
        <f>H93-'[21]Anexo II_DP FUNC'!H93</f>
        <v>0</v>
      </c>
      <c r="H93" s="152">
        <v>4938019.56</v>
      </c>
      <c r="I93" s="147">
        <v>0</v>
      </c>
      <c r="J93" s="147">
        <f t="shared" si="17"/>
        <v>0.3211234141662048</v>
      </c>
      <c r="K93" s="147">
        <f>((H93+I93)/D93)*100</f>
        <v>76.95952001388446</v>
      </c>
      <c r="L93" s="148">
        <f t="shared" si="18"/>
        <v>1478366.04</v>
      </c>
      <c r="M93" s="145"/>
    </row>
    <row r="94" spans="1:13" ht="18" customHeight="1">
      <c r="A94" s="466" t="s">
        <v>184</v>
      </c>
      <c r="B94" s="472"/>
      <c r="C94" s="147">
        <v>1602500</v>
      </c>
      <c r="D94" s="147">
        <v>1417250</v>
      </c>
      <c r="E94" s="891">
        <f>F94-'[21]Anexo II_DP FUNC'!F94</f>
        <v>0</v>
      </c>
      <c r="F94" s="665">
        <v>119490.55</v>
      </c>
      <c r="G94" s="1195">
        <f>H94-'[21]Anexo II_DP FUNC'!H94</f>
        <v>0</v>
      </c>
      <c r="H94" s="152">
        <v>119490.55</v>
      </c>
      <c r="I94" s="147">
        <f>11841-11841</f>
        <v>0</v>
      </c>
      <c r="J94" s="147">
        <f t="shared" si="17"/>
        <v>0.007770567311523085</v>
      </c>
      <c r="K94" s="147">
        <f>((H94+I94)/D94)*100</f>
        <v>8.431155406597284</v>
      </c>
      <c r="L94" s="148">
        <f t="shared" si="18"/>
        <v>1297759.45</v>
      </c>
      <c r="M94" s="145"/>
    </row>
    <row r="95" spans="1:13" ht="18" customHeight="1">
      <c r="A95" s="466" t="s">
        <v>185</v>
      </c>
      <c r="B95" s="472"/>
      <c r="C95" s="147">
        <v>27662772</v>
      </c>
      <c r="D95" s="147">
        <v>25452772</v>
      </c>
      <c r="E95" s="891">
        <f>F95-'[21]Anexo II_DP FUNC'!F95</f>
        <v>-548597.8400000001</v>
      </c>
      <c r="F95" s="665">
        <v>1627988.2</v>
      </c>
      <c r="G95" s="1195">
        <f>H95-'[21]Anexo II_DP FUNC'!H95</f>
        <v>223375.76000000013</v>
      </c>
      <c r="H95" s="152">
        <v>1202284.83</v>
      </c>
      <c r="I95" s="147">
        <v>0</v>
      </c>
      <c r="J95" s="147">
        <f t="shared" si="17"/>
        <v>0.07818555692595013</v>
      </c>
      <c r="K95" s="147">
        <f>((H95+I95)/D95)*100</f>
        <v>4.7235909314710405</v>
      </c>
      <c r="L95" s="148">
        <f t="shared" si="18"/>
        <v>24250487.17</v>
      </c>
      <c r="M95" s="145"/>
    </row>
    <row r="96" spans="1:13" ht="18" customHeight="1">
      <c r="A96" s="149" t="s">
        <v>186</v>
      </c>
      <c r="B96" s="505"/>
      <c r="C96" s="150">
        <v>57004335</v>
      </c>
      <c r="D96" s="150">
        <f>C96</f>
        <v>57004335</v>
      </c>
      <c r="E96" s="891">
        <f>F96-'[21]Anexo II_DP FUNC'!F96</f>
        <v>1000000</v>
      </c>
      <c r="F96" s="660">
        <v>44283379.81</v>
      </c>
      <c r="G96" s="1168">
        <f>H96-'[21]Anexo II_DP FUNC'!H96</f>
        <v>6023835.199999999</v>
      </c>
      <c r="H96" s="154">
        <v>35623523.5</v>
      </c>
      <c r="I96" s="150">
        <v>0</v>
      </c>
      <c r="J96" s="150">
        <f t="shared" si="17"/>
        <v>2.31662660545436</v>
      </c>
      <c r="K96" s="150">
        <f>((H96+I96)/D96)*100</f>
        <v>62.49265691810982</v>
      </c>
      <c r="L96" s="153">
        <f t="shared" si="18"/>
        <v>21380811.5</v>
      </c>
      <c r="M96" s="145"/>
    </row>
    <row r="97" spans="1:14" s="138" customFormat="1" ht="18" customHeight="1">
      <c r="A97" s="1362" t="s">
        <v>187</v>
      </c>
      <c r="B97" s="1362"/>
      <c r="C97" s="166">
        <f aca="true" t="shared" si="19" ref="C97:I97">C98</f>
        <v>25812968</v>
      </c>
      <c r="D97" s="166">
        <f t="shared" si="19"/>
        <v>25812968</v>
      </c>
      <c r="E97" s="668">
        <f t="shared" si="19"/>
        <v>3290000</v>
      </c>
      <c r="F97" s="672">
        <f t="shared" si="19"/>
        <v>3395291.11</v>
      </c>
      <c r="G97" s="1237">
        <f t="shared" si="19"/>
        <v>0</v>
      </c>
      <c r="H97" s="525">
        <f t="shared" si="19"/>
        <v>105291.11</v>
      </c>
      <c r="I97" s="167">
        <f t="shared" si="19"/>
        <v>0</v>
      </c>
      <c r="J97" s="167">
        <f aca="true" t="shared" si="20" ref="J97:J128">((H97+I97)/($H$132+$I$132))*100</f>
        <v>0.006847166219922676</v>
      </c>
      <c r="K97" s="167">
        <f aca="true" t="shared" si="21" ref="K97:K128">((H97+I97)/D97)*100</f>
        <v>0.4079000524077665</v>
      </c>
      <c r="L97" s="166">
        <f>L98</f>
        <v>25707676.89</v>
      </c>
      <c r="M97" s="1302"/>
      <c r="N97" s="146"/>
    </row>
    <row r="98" spans="1:13" ht="18" customHeight="1">
      <c r="A98" s="1359" t="s">
        <v>188</v>
      </c>
      <c r="B98" s="1359"/>
      <c r="C98" s="150">
        <v>25812968</v>
      </c>
      <c r="D98" s="151">
        <f>C98</f>
        <v>25812968</v>
      </c>
      <c r="E98" s="891">
        <f>F98-'[21]Anexo II_DP FUNC'!F98</f>
        <v>3290000</v>
      </c>
      <c r="F98" s="656">
        <v>3395291.11</v>
      </c>
      <c r="G98" s="1168">
        <f>H98-'[21]Anexo II_DP FUNC'!H98</f>
        <v>0</v>
      </c>
      <c r="H98" s="154">
        <v>105291.11</v>
      </c>
      <c r="I98" s="147">
        <v>0</v>
      </c>
      <c r="J98" s="147">
        <f t="shared" si="20"/>
        <v>0.006847166219922676</v>
      </c>
      <c r="K98" s="147">
        <f t="shared" si="21"/>
        <v>0.4079000524077665</v>
      </c>
      <c r="L98" s="148">
        <f>D98-(H98+I98)</f>
        <v>25707676.89</v>
      </c>
      <c r="M98" s="145"/>
    </row>
    <row r="99" spans="1:14" s="138" customFormat="1" ht="18" customHeight="1">
      <c r="A99" s="1362" t="s">
        <v>189</v>
      </c>
      <c r="B99" s="1362"/>
      <c r="C99" s="159">
        <f aca="true" t="shared" si="22" ref="C99:I99">C101+C100</f>
        <v>245939560</v>
      </c>
      <c r="D99" s="513">
        <f t="shared" si="22"/>
        <v>207277452.54000002</v>
      </c>
      <c r="E99" s="673">
        <f t="shared" si="22"/>
        <v>3296428.7600000054</v>
      </c>
      <c r="F99" s="674">
        <f t="shared" si="22"/>
        <v>134059508.15</v>
      </c>
      <c r="G99" s="1237">
        <f>G101+G100</f>
        <v>12871313.500000011</v>
      </c>
      <c r="H99" s="168">
        <f t="shared" si="22"/>
        <v>79671608.48</v>
      </c>
      <c r="I99" s="168">
        <f t="shared" si="22"/>
        <v>0</v>
      </c>
      <c r="J99" s="168">
        <f t="shared" si="20"/>
        <v>5.181109271914418</v>
      </c>
      <c r="K99" s="168">
        <f t="shared" si="21"/>
        <v>38.43718045725457</v>
      </c>
      <c r="L99" s="160">
        <f>L100+L101</f>
        <v>127605844.06</v>
      </c>
      <c r="M99" s="1302"/>
      <c r="N99" s="146"/>
    </row>
    <row r="100" spans="1:13" ht="18" customHeight="1">
      <c r="A100" s="1360" t="s">
        <v>186</v>
      </c>
      <c r="B100" s="1360"/>
      <c r="C100" s="161">
        <v>111530000</v>
      </c>
      <c r="D100" s="162">
        <v>80081231.64</v>
      </c>
      <c r="E100" s="891">
        <f>F100-'[21]Anexo II_DP FUNC'!F100</f>
        <v>0</v>
      </c>
      <c r="F100" s="675">
        <v>79006709.16</v>
      </c>
      <c r="G100" s="1195">
        <f>H100-'[21]Anexo II_DP FUNC'!H100</f>
        <v>10080668.88000001</v>
      </c>
      <c r="H100" s="485">
        <v>71797168.43</v>
      </c>
      <c r="I100" s="147">
        <v>0</v>
      </c>
      <c r="J100" s="147">
        <f t="shared" si="20"/>
        <v>4.66902805336552</v>
      </c>
      <c r="K100" s="147">
        <f t="shared" si="21"/>
        <v>89.65542482258458</v>
      </c>
      <c r="L100" s="148">
        <f>D100-(H100+I100)</f>
        <v>8284063.209999993</v>
      </c>
      <c r="M100" s="145"/>
    </row>
    <row r="101" spans="1:13" ht="18" customHeight="1">
      <c r="A101" s="1359" t="s">
        <v>190</v>
      </c>
      <c r="B101" s="1359"/>
      <c r="C101" s="150">
        <v>134409560</v>
      </c>
      <c r="D101" s="153">
        <v>127196220.9</v>
      </c>
      <c r="E101" s="892">
        <f>F101-'[21]Anexo II_DP FUNC'!F101</f>
        <v>3296428.7600000054</v>
      </c>
      <c r="F101" s="676">
        <v>55052798.99</v>
      </c>
      <c r="G101" s="1168">
        <f>H101-'[21]Anexo II_DP FUNC'!H101</f>
        <v>2790644.62</v>
      </c>
      <c r="H101" s="154">
        <v>7874440.05</v>
      </c>
      <c r="I101" s="150">
        <v>0</v>
      </c>
      <c r="J101" s="150">
        <f t="shared" si="20"/>
        <v>0.5120812185488995</v>
      </c>
      <c r="K101" s="150">
        <f t="shared" si="21"/>
        <v>6.190781451117782</v>
      </c>
      <c r="L101" s="153">
        <f>D101-(H101+I101)</f>
        <v>119321780.85000001</v>
      </c>
      <c r="M101" s="145"/>
    </row>
    <row r="102" spans="1:14" s="138" customFormat="1" ht="18" customHeight="1">
      <c r="A102" s="1362" t="s">
        <v>191</v>
      </c>
      <c r="B102" s="1362"/>
      <c r="C102" s="169">
        <f aca="true" t="shared" si="23" ref="C102:I102">C103+C104+C105+C106</f>
        <v>1202548</v>
      </c>
      <c r="D102" s="169">
        <f t="shared" si="23"/>
        <v>1202548</v>
      </c>
      <c r="E102" s="169">
        <f t="shared" si="23"/>
        <v>2600</v>
      </c>
      <c r="F102" s="169">
        <f t="shared" si="23"/>
        <v>2600</v>
      </c>
      <c r="G102" s="1238">
        <f t="shared" si="23"/>
        <v>2600</v>
      </c>
      <c r="H102" s="1236">
        <f t="shared" si="23"/>
        <v>2600</v>
      </c>
      <c r="I102" s="169">
        <f t="shared" si="23"/>
        <v>0</v>
      </c>
      <c r="J102" s="170">
        <f t="shared" si="20"/>
        <v>0.00016908010725500905</v>
      </c>
      <c r="K102" s="170">
        <f t="shared" si="21"/>
        <v>0.21620758589262135</v>
      </c>
      <c r="L102" s="169">
        <f>L103+L104+L105+L106</f>
        <v>1199948</v>
      </c>
      <c r="M102" s="502"/>
      <c r="N102" s="146"/>
    </row>
    <row r="103" spans="1:13" ht="18" customHeight="1">
      <c r="A103" s="1360" t="s">
        <v>132</v>
      </c>
      <c r="B103" s="1360"/>
      <c r="C103" s="147">
        <v>0</v>
      </c>
      <c r="D103" s="147">
        <v>0</v>
      </c>
      <c r="E103" s="891">
        <f>F103-'[21]Anexo II_DP FUNC'!F103</f>
        <v>0</v>
      </c>
      <c r="F103" s="1166">
        <v>0</v>
      </c>
      <c r="G103" s="1195">
        <f>H103-'[21]Anexo II_DP FUNC'!H103</f>
        <v>0</v>
      </c>
      <c r="H103" s="152">
        <v>0</v>
      </c>
      <c r="I103" s="147">
        <v>0</v>
      </c>
      <c r="J103" s="147">
        <f t="shared" si="20"/>
        <v>0</v>
      </c>
      <c r="K103" s="147">
        <v>0</v>
      </c>
      <c r="L103" s="158">
        <f>D103-(H103+I103)</f>
        <v>0</v>
      </c>
      <c r="M103" s="145"/>
    </row>
    <row r="104" spans="1:13" ht="18" customHeight="1">
      <c r="A104" s="1360" t="s">
        <v>192</v>
      </c>
      <c r="B104" s="1360"/>
      <c r="C104" s="147">
        <v>242800</v>
      </c>
      <c r="D104" s="147">
        <f>C104</f>
        <v>242800</v>
      </c>
      <c r="E104" s="891">
        <f>F104-'[21]Anexo II_DP FUNC'!F104</f>
        <v>0</v>
      </c>
      <c r="F104" s="1166">
        <v>0</v>
      </c>
      <c r="G104" s="1195">
        <f>H104-'[21]Anexo II_DP FUNC'!H104</f>
        <v>0</v>
      </c>
      <c r="H104" s="152">
        <v>0</v>
      </c>
      <c r="I104" s="158">
        <v>0</v>
      </c>
      <c r="J104" s="716">
        <f t="shared" si="20"/>
        <v>0</v>
      </c>
      <c r="K104" s="152">
        <v>0</v>
      </c>
      <c r="L104" s="158">
        <f>D104-(H104+I104)</f>
        <v>242800</v>
      </c>
      <c r="M104" s="145"/>
    </row>
    <row r="105" spans="1:13" ht="18" customHeight="1">
      <c r="A105" s="472" t="s">
        <v>625</v>
      </c>
      <c r="B105" s="472"/>
      <c r="C105" s="147">
        <v>28000</v>
      </c>
      <c r="D105" s="147">
        <f>C105</f>
        <v>28000</v>
      </c>
      <c r="E105" s="891">
        <f>F105-'[21]Anexo II_DP FUNC'!F105</f>
        <v>0</v>
      </c>
      <c r="F105" s="1166">
        <v>0</v>
      </c>
      <c r="G105" s="1195">
        <f>H105-'[21]Anexo II_DP FUNC'!H105</f>
        <v>0</v>
      </c>
      <c r="H105" s="152">
        <v>0</v>
      </c>
      <c r="I105" s="158">
        <v>0</v>
      </c>
      <c r="J105" s="148">
        <f t="shared" si="20"/>
        <v>0</v>
      </c>
      <c r="K105" s="152">
        <v>0</v>
      </c>
      <c r="L105" s="158">
        <f>D105-(H105+I105)</f>
        <v>28000</v>
      </c>
      <c r="M105" s="145"/>
    </row>
    <row r="106" spans="1:13" ht="18" customHeight="1">
      <c r="A106" s="1359" t="s">
        <v>193</v>
      </c>
      <c r="B106" s="1359"/>
      <c r="C106" s="150">
        <v>931748</v>
      </c>
      <c r="D106" s="150">
        <f>C106</f>
        <v>931748</v>
      </c>
      <c r="E106" s="891">
        <f>F106-'[21]Anexo II_DP FUNC'!F106</f>
        <v>2600</v>
      </c>
      <c r="F106" s="1167">
        <v>2600</v>
      </c>
      <c r="G106" s="1168">
        <f>H106-'[21]Anexo II_DP FUNC'!H106</f>
        <v>2600</v>
      </c>
      <c r="H106" s="154">
        <v>2600</v>
      </c>
      <c r="I106" s="150">
        <v>0</v>
      </c>
      <c r="J106" s="150">
        <f t="shared" si="20"/>
        <v>0.00016908010725500905</v>
      </c>
      <c r="K106" s="150">
        <f t="shared" si="21"/>
        <v>0.279045407127249</v>
      </c>
      <c r="L106" s="151">
        <f>D106-(H106+I106)</f>
        <v>929148</v>
      </c>
      <c r="M106" s="145"/>
    </row>
    <row r="107" spans="1:14" s="138" customFormat="1" ht="18" customHeight="1">
      <c r="A107" s="1362" t="s">
        <v>194</v>
      </c>
      <c r="B107" s="1362"/>
      <c r="C107" s="163">
        <f aca="true" t="shared" si="24" ref="C107:I107">SUM(C108:C111)</f>
        <v>7978467</v>
      </c>
      <c r="D107" s="163">
        <f t="shared" si="24"/>
        <v>6883488.779999999</v>
      </c>
      <c r="E107" s="662">
        <f t="shared" si="24"/>
        <v>790000</v>
      </c>
      <c r="F107" s="671">
        <f t="shared" si="24"/>
        <v>5672090.87</v>
      </c>
      <c r="G107" s="1239">
        <f>SUM(G108:G111)</f>
        <v>672300.1000000002</v>
      </c>
      <c r="H107" s="144">
        <f t="shared" si="24"/>
        <v>3618867.5300000003</v>
      </c>
      <c r="I107" s="163">
        <f t="shared" si="24"/>
        <v>0</v>
      </c>
      <c r="J107" s="163">
        <f t="shared" si="20"/>
        <v>0.23533788850541143</v>
      </c>
      <c r="K107" s="163">
        <f t="shared" si="21"/>
        <v>52.57315942047632</v>
      </c>
      <c r="L107" s="163">
        <f>SUM(L108:L111)</f>
        <v>3264621.2499999995</v>
      </c>
      <c r="M107" s="502"/>
      <c r="N107" s="146"/>
    </row>
    <row r="108" spans="1:41" ht="18" customHeight="1">
      <c r="A108" s="1360" t="s">
        <v>132</v>
      </c>
      <c r="B108" s="1360"/>
      <c r="C108" s="158">
        <v>0</v>
      </c>
      <c r="D108" s="158">
        <v>0</v>
      </c>
      <c r="E108" s="891">
        <f>F108-'[21]Anexo II_DP FUNC'!F108</f>
        <v>0</v>
      </c>
      <c r="F108" s="665">
        <v>0</v>
      </c>
      <c r="G108" s="1195">
        <f>H108-'[21]Anexo II_DP FUNC'!H108</f>
        <v>0</v>
      </c>
      <c r="H108" s="148">
        <v>0</v>
      </c>
      <c r="I108" s="147">
        <v>0</v>
      </c>
      <c r="J108" s="147">
        <f t="shared" si="20"/>
        <v>0</v>
      </c>
      <c r="K108" s="147">
        <v>0</v>
      </c>
      <c r="L108" s="148">
        <f>D108-(H108+I108)</f>
        <v>0</v>
      </c>
      <c r="M108" s="145"/>
      <c r="AO108" s="653"/>
    </row>
    <row r="109" spans="1:13" ht="18" customHeight="1">
      <c r="A109" s="466" t="s">
        <v>165</v>
      </c>
      <c r="B109" s="472"/>
      <c r="C109" s="158">
        <v>0</v>
      </c>
      <c r="D109" s="158">
        <f>C109</f>
        <v>0</v>
      </c>
      <c r="E109" s="891">
        <f>F109-'[21]Anexo II_DP FUNC'!F109</f>
        <v>0</v>
      </c>
      <c r="F109" s="665">
        <v>0</v>
      </c>
      <c r="G109" s="1195">
        <f>H109-'[21]Anexo II_DP FUNC'!H109</f>
        <v>0</v>
      </c>
      <c r="H109" s="148">
        <v>0</v>
      </c>
      <c r="I109" s="147">
        <f>F109-H109</f>
        <v>0</v>
      </c>
      <c r="J109" s="147">
        <f t="shared" si="20"/>
        <v>0</v>
      </c>
      <c r="K109" s="147">
        <v>0</v>
      </c>
      <c r="L109" s="148">
        <f>D109-(H109+I109)</f>
        <v>0</v>
      </c>
      <c r="M109" s="145"/>
    </row>
    <row r="110" spans="1:13" ht="18" customHeight="1">
      <c r="A110" s="1360" t="s">
        <v>195</v>
      </c>
      <c r="B110" s="1360"/>
      <c r="C110" s="147">
        <v>5528467</v>
      </c>
      <c r="D110" s="158">
        <v>3236988.78</v>
      </c>
      <c r="E110" s="891">
        <f>F110-'[21]Anexo II_DP FUNC'!F110</f>
        <v>340000</v>
      </c>
      <c r="F110" s="665">
        <v>2828154</v>
      </c>
      <c r="G110" s="1195">
        <f>H110-'[21]Anexo II_DP FUNC'!H110</f>
        <v>102800.1000000001</v>
      </c>
      <c r="H110" s="152">
        <v>2324930.66</v>
      </c>
      <c r="I110" s="147">
        <v>0</v>
      </c>
      <c r="J110" s="147">
        <f t="shared" si="20"/>
        <v>0.15119212513586885</v>
      </c>
      <c r="K110" s="147">
        <f t="shared" si="21"/>
        <v>71.82387144387941</v>
      </c>
      <c r="L110" s="148">
        <f>D110-(H110+I110)</f>
        <v>912058.1199999996</v>
      </c>
      <c r="M110" s="145"/>
    </row>
    <row r="111" spans="1:13" ht="18" customHeight="1">
      <c r="A111" s="1359" t="s">
        <v>196</v>
      </c>
      <c r="B111" s="1359"/>
      <c r="C111" s="150">
        <v>2450000</v>
      </c>
      <c r="D111" s="151">
        <v>3646500</v>
      </c>
      <c r="E111" s="892">
        <f>F111-'[21]Anexo II_DP FUNC'!F111</f>
        <v>450000</v>
      </c>
      <c r="F111" s="676">
        <v>2843936.87</v>
      </c>
      <c r="G111" s="1168">
        <f>H111-'[21]Anexo II_DP FUNC'!H111</f>
        <v>569500.0000000001</v>
      </c>
      <c r="H111" s="154">
        <v>1293936.87</v>
      </c>
      <c r="I111" s="150">
        <v>0</v>
      </c>
      <c r="J111" s="150">
        <f t="shared" si="20"/>
        <v>0.08414576336954259</v>
      </c>
      <c r="K111" s="150">
        <f t="shared" si="21"/>
        <v>35.48435129576306</v>
      </c>
      <c r="L111" s="153">
        <f>D111-(H111+I111)</f>
        <v>2352563.13</v>
      </c>
      <c r="M111" s="145"/>
    </row>
    <row r="112" spans="1:14" s="138" customFormat="1" ht="18" customHeight="1">
      <c r="A112" s="1362" t="s">
        <v>197</v>
      </c>
      <c r="B112" s="1362"/>
      <c r="C112" s="163">
        <f aca="true" t="shared" si="25" ref="C112:I112">SUM(C113:C115)</f>
        <v>8300148</v>
      </c>
      <c r="D112" s="163">
        <f t="shared" si="25"/>
        <v>9295148</v>
      </c>
      <c r="E112" s="677">
        <f t="shared" si="25"/>
        <v>78135.23999999929</v>
      </c>
      <c r="F112" s="664">
        <f t="shared" si="25"/>
        <v>7525036.97</v>
      </c>
      <c r="G112" s="1239">
        <f>SUM(G113:G115)</f>
        <v>1137502.3099999996</v>
      </c>
      <c r="H112" s="521">
        <f t="shared" si="25"/>
        <v>6031026.85</v>
      </c>
      <c r="I112" s="163">
        <f t="shared" si="25"/>
        <v>0</v>
      </c>
      <c r="J112" s="163">
        <f t="shared" si="20"/>
        <v>0.39220256409839976</v>
      </c>
      <c r="K112" s="163">
        <f t="shared" si="21"/>
        <v>64.88360217610305</v>
      </c>
      <c r="L112" s="157">
        <f>SUM(L113:L115)</f>
        <v>3264121.1500000004</v>
      </c>
      <c r="M112" s="502"/>
      <c r="N112" s="146"/>
    </row>
    <row r="113" spans="1:13" ht="18" customHeight="1">
      <c r="A113" s="466" t="s">
        <v>138</v>
      </c>
      <c r="B113" s="473"/>
      <c r="C113" s="158">
        <v>0</v>
      </c>
      <c r="D113" s="158">
        <v>0</v>
      </c>
      <c r="E113" s="891">
        <f>F113-'[21]Anexo II_DP FUNC'!F113</f>
        <v>0</v>
      </c>
      <c r="F113" s="665">
        <v>0</v>
      </c>
      <c r="G113" s="1195">
        <f>H113-'[21]Anexo II_DP FUNC'!H113</f>
        <v>0</v>
      </c>
      <c r="H113" s="148">
        <v>0</v>
      </c>
      <c r="I113" s="147">
        <v>0</v>
      </c>
      <c r="J113" s="147">
        <f t="shared" si="20"/>
        <v>0</v>
      </c>
      <c r="K113" s="147">
        <v>0</v>
      </c>
      <c r="L113" s="158">
        <f>D113-(H113+I113)</f>
        <v>0</v>
      </c>
      <c r="M113" s="145"/>
    </row>
    <row r="114" spans="1:13" ht="18" customHeight="1">
      <c r="A114" s="1360" t="s">
        <v>132</v>
      </c>
      <c r="B114" s="1360"/>
      <c r="C114" s="158">
        <v>0</v>
      </c>
      <c r="D114" s="158">
        <v>0</v>
      </c>
      <c r="E114" s="891">
        <f>F114-'[21]Anexo II_DP FUNC'!F114</f>
        <v>0</v>
      </c>
      <c r="F114" s="665">
        <v>0</v>
      </c>
      <c r="G114" s="1195">
        <f>H114-'[21]Anexo II_DP FUNC'!H114</f>
        <v>0</v>
      </c>
      <c r="H114" s="148">
        <v>0</v>
      </c>
      <c r="I114" s="147">
        <f>F114-H114</f>
        <v>0</v>
      </c>
      <c r="J114" s="147">
        <f t="shared" si="20"/>
        <v>0</v>
      </c>
      <c r="K114" s="147">
        <v>0</v>
      </c>
      <c r="L114" s="158">
        <f>D114-(H114+I114)</f>
        <v>0</v>
      </c>
      <c r="M114" s="145"/>
    </row>
    <row r="115" spans="1:13" ht="18" customHeight="1">
      <c r="A115" s="1359" t="s">
        <v>198</v>
      </c>
      <c r="B115" s="1359"/>
      <c r="C115" s="150">
        <v>8300148</v>
      </c>
      <c r="D115" s="151">
        <v>9295148</v>
      </c>
      <c r="E115" s="891">
        <f>F115-'[21]Anexo II_DP FUNC'!F115</f>
        <v>78135.23999999929</v>
      </c>
      <c r="F115" s="676">
        <v>7525036.97</v>
      </c>
      <c r="G115" s="1195">
        <f>H115-'[21]Anexo II_DP FUNC'!H115</f>
        <v>1137502.3099999996</v>
      </c>
      <c r="H115" s="154">
        <v>6031026.85</v>
      </c>
      <c r="I115" s="150">
        <v>0</v>
      </c>
      <c r="J115" s="150">
        <f t="shared" si="20"/>
        <v>0.39220256409839976</v>
      </c>
      <c r="K115" s="150">
        <f t="shared" si="21"/>
        <v>64.88360217610305</v>
      </c>
      <c r="L115" s="151">
        <f>D115-(H115+I115)</f>
        <v>3264121.1500000004</v>
      </c>
      <c r="M115" s="145"/>
    </row>
    <row r="116" spans="1:14" s="138" customFormat="1" ht="18" customHeight="1">
      <c r="A116" s="1362" t="s">
        <v>199</v>
      </c>
      <c r="B116" s="1362"/>
      <c r="C116" s="163">
        <f aca="true" t="shared" si="26" ref="C116:I116">C119+C117+C118</f>
        <v>242326962</v>
      </c>
      <c r="D116" s="163">
        <f t="shared" si="26"/>
        <v>300565772.41</v>
      </c>
      <c r="E116" s="670">
        <f t="shared" si="26"/>
        <v>4710801.18</v>
      </c>
      <c r="F116" s="671">
        <f t="shared" si="26"/>
        <v>232873878.22</v>
      </c>
      <c r="G116" s="1240">
        <f>G119+G117+G118</f>
        <v>25284540.809999987</v>
      </c>
      <c r="H116" s="521">
        <f t="shared" si="26"/>
        <v>169206996.5</v>
      </c>
      <c r="I116" s="163">
        <f t="shared" si="26"/>
        <v>0</v>
      </c>
      <c r="J116" s="163">
        <f t="shared" si="20"/>
        <v>11.00366812173767</v>
      </c>
      <c r="K116" s="163">
        <f t="shared" si="21"/>
        <v>56.29616278103208</v>
      </c>
      <c r="L116" s="163">
        <f>L117+L118+L119</f>
        <v>131358775.91000003</v>
      </c>
      <c r="M116" s="502"/>
      <c r="N116" s="146"/>
    </row>
    <row r="117" spans="1:13" ht="18" customHeight="1">
      <c r="A117" s="1360" t="s">
        <v>132</v>
      </c>
      <c r="B117" s="1360"/>
      <c r="C117" s="147">
        <v>30083081</v>
      </c>
      <c r="D117" s="158">
        <v>26072925.04</v>
      </c>
      <c r="E117" s="891">
        <f>F117-'[21]Anexo II_DP FUNC'!F117</f>
        <v>0</v>
      </c>
      <c r="F117" s="665">
        <v>25527405.11</v>
      </c>
      <c r="G117" s="1195">
        <f>H117-'[21]Anexo II_DP FUNC'!H117</f>
        <v>3745423.09</v>
      </c>
      <c r="H117" s="152">
        <v>19815333.93</v>
      </c>
      <c r="I117" s="147">
        <v>0</v>
      </c>
      <c r="J117" s="147">
        <f t="shared" si="20"/>
        <v>1.2886072254531615</v>
      </c>
      <c r="K117" s="147">
        <f t="shared" si="21"/>
        <v>75.99965826465629</v>
      </c>
      <c r="L117" s="148">
        <f>D117-(H117+I117)</f>
        <v>6257591.109999999</v>
      </c>
      <c r="M117" s="145"/>
    </row>
    <row r="118" spans="1:13" ht="18" customHeight="1">
      <c r="A118" s="466" t="s">
        <v>185</v>
      </c>
      <c r="B118" s="472"/>
      <c r="C118" s="147">
        <v>195247672</v>
      </c>
      <c r="D118" s="158">
        <v>245103353.8</v>
      </c>
      <c r="E118" s="891">
        <f>F118-'[21]Anexo II_DP FUNC'!F118</f>
        <v>3684173.25</v>
      </c>
      <c r="F118" s="665">
        <v>179215477.65</v>
      </c>
      <c r="G118" s="1195">
        <f>H118-'[21]Anexo II_DP FUNC'!H118</f>
        <v>19620142.309999987</v>
      </c>
      <c r="H118" s="152">
        <v>124700413.32</v>
      </c>
      <c r="I118" s="147">
        <v>0</v>
      </c>
      <c r="J118" s="147">
        <f t="shared" si="20"/>
        <v>8.109368945726752</v>
      </c>
      <c r="K118" s="147">
        <f t="shared" si="21"/>
        <v>50.8766654501812</v>
      </c>
      <c r="L118" s="148">
        <f>D118-(H118+I118)</f>
        <v>120402940.48000002</v>
      </c>
      <c r="M118" s="145"/>
    </row>
    <row r="119" spans="1:13" ht="18" customHeight="1">
      <c r="A119" s="1359" t="s">
        <v>200</v>
      </c>
      <c r="B119" s="1359"/>
      <c r="C119" s="150">
        <v>16996209</v>
      </c>
      <c r="D119" s="151">
        <v>29389493.57</v>
      </c>
      <c r="E119" s="892">
        <f>F119-'[21]Anexo II_DP FUNC'!F119</f>
        <v>1026627.9299999997</v>
      </c>
      <c r="F119" s="676">
        <v>28130995.46</v>
      </c>
      <c r="G119" s="1168">
        <f>H119-'[21]Anexo II_DP FUNC'!H119</f>
        <v>1918975.4100000001</v>
      </c>
      <c r="H119" s="154">
        <v>24691249.25</v>
      </c>
      <c r="I119" s="150">
        <v>0</v>
      </c>
      <c r="J119" s="150">
        <f t="shared" si="20"/>
        <v>1.6056919505577545</v>
      </c>
      <c r="K119" s="150">
        <f t="shared" si="21"/>
        <v>84.0138643123955</v>
      </c>
      <c r="L119" s="153">
        <f>D119-(H119+I119)</f>
        <v>4698244.32</v>
      </c>
      <c r="M119" s="145"/>
    </row>
    <row r="120" spans="1:14" s="138" customFormat="1" ht="18" customHeight="1">
      <c r="A120" s="1362" t="s">
        <v>201</v>
      </c>
      <c r="B120" s="1362"/>
      <c r="C120" s="163">
        <f aca="true" t="shared" si="27" ref="C120:I120">C121+C122+C123</f>
        <v>17559751</v>
      </c>
      <c r="D120" s="163">
        <f t="shared" si="27"/>
        <v>17198751</v>
      </c>
      <c r="E120" s="664">
        <f t="shared" si="27"/>
        <v>195612.84999999963</v>
      </c>
      <c r="F120" s="664">
        <f t="shared" si="27"/>
        <v>12050223.2</v>
      </c>
      <c r="G120" s="1241">
        <f>G121+G122+G123</f>
        <v>2077975.4100000001</v>
      </c>
      <c r="H120" s="144">
        <f t="shared" si="27"/>
        <v>10712346.32</v>
      </c>
      <c r="I120" s="163">
        <f t="shared" si="27"/>
        <v>0</v>
      </c>
      <c r="J120" s="163">
        <f t="shared" si="20"/>
        <v>0.6966325633609237</v>
      </c>
      <c r="K120" s="163">
        <f t="shared" si="21"/>
        <v>62.28560620477616</v>
      </c>
      <c r="L120" s="163">
        <f>L121+L122+L123</f>
        <v>6486404.68</v>
      </c>
      <c r="M120" s="502"/>
      <c r="N120" s="146"/>
    </row>
    <row r="121" spans="1:13" ht="18" customHeight="1">
      <c r="A121" s="1360" t="s">
        <v>132</v>
      </c>
      <c r="B121" s="1360"/>
      <c r="C121" s="147">
        <v>3714751</v>
      </c>
      <c r="D121" s="147">
        <f>C121</f>
        <v>3714751</v>
      </c>
      <c r="E121" s="891">
        <f>F121-'[21]Anexo II_DP FUNC'!F121</f>
        <v>-25915</v>
      </c>
      <c r="F121" s="660">
        <v>3475772.72</v>
      </c>
      <c r="G121" s="1195">
        <f>H121-'[21]Anexo II_DP FUNC'!H121</f>
        <v>527712.9699999997</v>
      </c>
      <c r="H121" s="152">
        <v>2757621.88</v>
      </c>
      <c r="I121" s="147">
        <v>0</v>
      </c>
      <c r="J121" s="147">
        <f t="shared" si="20"/>
        <v>0.17933038586121525</v>
      </c>
      <c r="K121" s="147">
        <f t="shared" si="21"/>
        <v>74.23436671798459</v>
      </c>
      <c r="L121" s="148">
        <f>D121-(H121+I121)</f>
        <v>957129.1200000001</v>
      </c>
      <c r="M121" s="145"/>
    </row>
    <row r="122" spans="1:13" ht="18" customHeight="1">
      <c r="A122" s="1360" t="s">
        <v>626</v>
      </c>
      <c r="B122" s="1360"/>
      <c r="C122" s="147">
        <v>5106791</v>
      </c>
      <c r="D122" s="147">
        <v>4461800</v>
      </c>
      <c r="E122" s="891">
        <f>F122-'[21]Anexo II_DP FUNC'!F122</f>
        <v>-6794.25</v>
      </c>
      <c r="F122" s="665">
        <v>2229398.1</v>
      </c>
      <c r="G122" s="1195">
        <f>H122-'[21]Anexo II_DP FUNC'!H122</f>
        <v>1367537.1600000001</v>
      </c>
      <c r="H122" s="152">
        <v>1887644.11</v>
      </c>
      <c r="I122" s="147">
        <v>0</v>
      </c>
      <c r="J122" s="147">
        <f t="shared" si="20"/>
        <v>0.12275502637618697</v>
      </c>
      <c r="K122" s="147">
        <f t="shared" si="21"/>
        <v>42.30678448159936</v>
      </c>
      <c r="L122" s="148">
        <f>D122-(H122+I122)</f>
        <v>2574155.8899999997</v>
      </c>
      <c r="M122" s="145"/>
    </row>
    <row r="123" spans="1:13" ht="18" customHeight="1">
      <c r="A123" s="1359" t="s">
        <v>202</v>
      </c>
      <c r="B123" s="1359"/>
      <c r="C123" s="150">
        <v>8738209</v>
      </c>
      <c r="D123" s="150">
        <v>9022200</v>
      </c>
      <c r="E123" s="892">
        <f>F123-'[21]Anexo II_DP FUNC'!F123</f>
        <v>228322.09999999963</v>
      </c>
      <c r="F123" s="656">
        <v>6345052.38</v>
      </c>
      <c r="G123" s="1168">
        <f>H123-'[21]Anexo II_DP FUNC'!H123</f>
        <v>182725.28000000026</v>
      </c>
      <c r="H123" s="154">
        <v>6067080.33</v>
      </c>
      <c r="I123" s="150">
        <v>0</v>
      </c>
      <c r="J123" s="150">
        <f t="shared" si="20"/>
        <v>0.3945471511235214</v>
      </c>
      <c r="K123" s="150">
        <f t="shared" si="21"/>
        <v>67.24612987963025</v>
      </c>
      <c r="L123" s="153">
        <f>D123-(H123+I123)</f>
        <v>2955119.67</v>
      </c>
      <c r="M123" s="145"/>
    </row>
    <row r="124" spans="1:14" s="138" customFormat="1" ht="18" customHeight="1">
      <c r="A124" s="1357" t="s">
        <v>203</v>
      </c>
      <c r="B124" s="1357"/>
      <c r="C124" s="156">
        <f aca="true" t="shared" si="28" ref="C124:I124">C125+C126</f>
        <v>44246408</v>
      </c>
      <c r="D124" s="156">
        <f t="shared" si="28"/>
        <v>66146408</v>
      </c>
      <c r="E124" s="678">
        <f t="shared" si="28"/>
        <v>4696425.220000001</v>
      </c>
      <c r="F124" s="678">
        <f t="shared" si="28"/>
        <v>55021710.77</v>
      </c>
      <c r="G124" s="1241">
        <f>G125+G126</f>
        <v>10308070.650000002</v>
      </c>
      <c r="H124" s="517">
        <f t="shared" si="28"/>
        <v>47123522.39</v>
      </c>
      <c r="I124" s="156">
        <f t="shared" si="28"/>
        <v>0</v>
      </c>
      <c r="J124" s="156">
        <f t="shared" si="20"/>
        <v>3.064480853821162</v>
      </c>
      <c r="K124" s="156">
        <f t="shared" si="21"/>
        <v>71.24124168616987</v>
      </c>
      <c r="L124" s="163">
        <f>L125+L126</f>
        <v>19022885.61</v>
      </c>
      <c r="M124" s="1302"/>
      <c r="N124" s="146"/>
    </row>
    <row r="125" spans="1:13" ht="18" customHeight="1">
      <c r="A125" s="1350" t="s">
        <v>204</v>
      </c>
      <c r="B125" s="1350"/>
      <c r="C125" s="147">
        <v>8900000</v>
      </c>
      <c r="D125" s="147">
        <f>C125</f>
        <v>8900000</v>
      </c>
      <c r="E125" s="891">
        <f>F125-'[21]Anexo II_DP FUNC'!F125</f>
        <v>568469.0800000001</v>
      </c>
      <c r="F125" s="665">
        <v>6732377.39</v>
      </c>
      <c r="G125" s="1195">
        <f>H125-'[21]Anexo II_DP FUNC'!H125</f>
        <v>740634.3000000007</v>
      </c>
      <c r="H125" s="152">
        <v>5764830.65</v>
      </c>
      <c r="I125" s="147">
        <v>0</v>
      </c>
      <c r="J125" s="147">
        <f t="shared" si="20"/>
        <v>0.37489160946498595</v>
      </c>
      <c r="K125" s="147">
        <f t="shared" si="21"/>
        <v>64.77337808988764</v>
      </c>
      <c r="L125" s="148">
        <f>D125-(H125+I125)</f>
        <v>3135169.3499999996</v>
      </c>
      <c r="M125" s="145"/>
    </row>
    <row r="126" spans="1:13" ht="18" customHeight="1">
      <c r="A126" s="1345" t="s">
        <v>205</v>
      </c>
      <c r="B126" s="1345"/>
      <c r="C126" s="150">
        <v>35346408</v>
      </c>
      <c r="D126" s="150">
        <v>57246408</v>
      </c>
      <c r="E126" s="891">
        <f>F126-'[21]Anexo II_DP FUNC'!F126</f>
        <v>4127956.1400000006</v>
      </c>
      <c r="F126" s="665">
        <v>48289333.38</v>
      </c>
      <c r="G126" s="1168">
        <f>H126-'[21]Anexo II_DP FUNC'!H126</f>
        <v>9567436.350000001</v>
      </c>
      <c r="H126" s="154">
        <v>41358691.74</v>
      </c>
      <c r="I126" s="150">
        <v>0</v>
      </c>
      <c r="J126" s="150">
        <f t="shared" si="20"/>
        <v>2.689589244356176</v>
      </c>
      <c r="K126" s="150">
        <f t="shared" si="21"/>
        <v>72.24678924833154</v>
      </c>
      <c r="L126" s="153">
        <f>D126-(H126+I126)</f>
        <v>15887716.259999998</v>
      </c>
      <c r="M126" s="145"/>
    </row>
    <row r="127" spans="1:14" s="138" customFormat="1" ht="19.5" customHeight="1">
      <c r="A127" s="1362" t="s">
        <v>206</v>
      </c>
      <c r="B127" s="1362"/>
      <c r="C127" s="163">
        <f aca="true" t="shared" si="29" ref="C127:I127">C128</f>
        <v>65667121</v>
      </c>
      <c r="D127" s="163">
        <f t="shared" si="29"/>
        <v>34718992.39</v>
      </c>
      <c r="E127" s="523">
        <f t="shared" si="29"/>
        <v>0</v>
      </c>
      <c r="F127" s="524">
        <f t="shared" si="29"/>
        <v>0</v>
      </c>
      <c r="G127" s="1242">
        <f t="shared" si="29"/>
        <v>0</v>
      </c>
      <c r="H127" s="521">
        <f t="shared" si="29"/>
        <v>0</v>
      </c>
      <c r="I127" s="163">
        <f t="shared" si="29"/>
        <v>0</v>
      </c>
      <c r="J127" s="163">
        <f t="shared" si="20"/>
        <v>0</v>
      </c>
      <c r="K127" s="163">
        <f t="shared" si="21"/>
        <v>0</v>
      </c>
      <c r="L127" s="163">
        <f>L128</f>
        <v>34718992.39</v>
      </c>
      <c r="M127" s="502"/>
      <c r="N127" s="146"/>
    </row>
    <row r="128" spans="1:13" ht="19.5" customHeight="1">
      <c r="A128" s="1360" t="s">
        <v>207</v>
      </c>
      <c r="B128" s="1360"/>
      <c r="C128" s="150">
        <v>65667121</v>
      </c>
      <c r="D128" s="151">
        <v>34718992.39</v>
      </c>
      <c r="E128" s="891">
        <f>F128-'[21]Anexo II_DP FUNC'!F128</f>
        <v>0</v>
      </c>
      <c r="F128" s="656">
        <v>0</v>
      </c>
      <c r="G128" s="1168">
        <f>H128-'[21]Anexo II_DP FUNC'!H128</f>
        <v>0</v>
      </c>
      <c r="H128" s="154">
        <v>0</v>
      </c>
      <c r="I128" s="147">
        <f>F128-H128</f>
        <v>0</v>
      </c>
      <c r="J128" s="147">
        <f t="shared" si="20"/>
        <v>0</v>
      </c>
      <c r="K128" s="147">
        <f t="shared" si="21"/>
        <v>0</v>
      </c>
      <c r="L128" s="148">
        <f>D128-(H128+I128)</f>
        <v>34718992.39</v>
      </c>
      <c r="M128" s="145"/>
    </row>
    <row r="129" spans="1:13" ht="7.5" customHeight="1">
      <c r="A129" s="1365"/>
      <c r="B129" s="1365"/>
      <c r="C129" s="171"/>
      <c r="D129" s="171"/>
      <c r="E129" s="657"/>
      <c r="F129" s="658"/>
      <c r="G129" s="657"/>
      <c r="H129" s="171"/>
      <c r="I129" s="172"/>
      <c r="J129" s="172"/>
      <c r="K129" s="172"/>
      <c r="L129" s="172"/>
      <c r="M129" s="145"/>
    </row>
    <row r="130" spans="1:14" s="138" customFormat="1" ht="18.75" customHeight="1">
      <c r="A130" s="508" t="s">
        <v>208</v>
      </c>
      <c r="B130" s="508"/>
      <c r="C130" s="173">
        <v>76488632</v>
      </c>
      <c r="D130" s="174">
        <f>C130</f>
        <v>76488632</v>
      </c>
      <c r="E130" s="1286">
        <f>F130-'[21]Anexo II_DP FUNC'!F130</f>
        <v>0</v>
      </c>
      <c r="F130" s="659">
        <v>60450126.23</v>
      </c>
      <c r="G130" s="1293">
        <f>H130-'[21]Anexo II_DP FUNC'!H130</f>
        <v>10591734.43</v>
      </c>
      <c r="H130" s="1165">
        <v>50951217.57</v>
      </c>
      <c r="I130" s="815">
        <v>0</v>
      </c>
      <c r="J130" s="173">
        <f>((H130+I130)/($H$132+$I$132))*100</f>
        <v>3.3133989736572693</v>
      </c>
      <c r="K130" s="173">
        <f>((H130+I130)/D130)*100</f>
        <v>66.6127975331027</v>
      </c>
      <c r="L130" s="174">
        <f>D130-(H130+I130)</f>
        <v>25537414.43</v>
      </c>
      <c r="M130" s="145"/>
      <c r="N130" s="509"/>
    </row>
    <row r="131" spans="1:13" ht="15" customHeight="1">
      <c r="A131" s="149"/>
      <c r="B131" s="149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514"/>
    </row>
    <row r="132" spans="1:14" s="146" customFormat="1" ht="18" customHeight="1">
      <c r="A132" s="1366" t="s">
        <v>209</v>
      </c>
      <c r="B132" s="1366"/>
      <c r="C132" s="175">
        <f aca="true" t="shared" si="30" ref="C132:I132">C12+C130</f>
        <v>2645637328</v>
      </c>
      <c r="D132" s="175">
        <f t="shared" si="30"/>
        <v>2661030913.4900002</v>
      </c>
      <c r="E132" s="175">
        <f t="shared" si="30"/>
        <v>175442067.90000004</v>
      </c>
      <c r="F132" s="175">
        <f t="shared" si="30"/>
        <v>1969746947.17</v>
      </c>
      <c r="G132" s="175">
        <f t="shared" si="30"/>
        <v>336060040.6</v>
      </c>
      <c r="H132" s="175">
        <f t="shared" si="30"/>
        <v>1537732641.77</v>
      </c>
      <c r="I132" s="175">
        <f t="shared" si="30"/>
        <v>0</v>
      </c>
      <c r="J132" s="175">
        <f>((H132+I132)/($H$132+$I$132))*100</f>
        <v>100</v>
      </c>
      <c r="K132" s="175">
        <v>0</v>
      </c>
      <c r="L132" s="174">
        <f>D132-(H132+I132)</f>
        <v>1123298271.7200003</v>
      </c>
      <c r="M132" s="145"/>
      <c r="N132" s="515"/>
    </row>
    <row r="133" spans="1:14" s="138" customFormat="1" ht="18" customHeight="1">
      <c r="A133" s="466" t="str">
        <f>'Anexo I_BAL ORC'!A96</f>
        <v>FONTE: SECRETARIA MUNICIPAL DA FAZENDA</v>
      </c>
      <c r="B133" s="503"/>
      <c r="C133" s="144"/>
      <c r="D133" s="144"/>
      <c r="E133" s="144"/>
      <c r="F133" s="144"/>
      <c r="G133" s="144"/>
      <c r="H133" s="144"/>
      <c r="I133" s="144"/>
      <c r="J133" s="144"/>
      <c r="K133" s="176"/>
      <c r="L133" s="120"/>
      <c r="M133" s="145"/>
      <c r="N133" s="146"/>
    </row>
    <row r="134" spans="1:14" s="138" customFormat="1" ht="29.25" customHeight="1">
      <c r="A134" s="1367" t="str">
        <f>'Anexo I_BAL ORC'!A97</f>
        <v>Nota: 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v>
      </c>
      <c r="B134" s="1367"/>
      <c r="C134" s="1367"/>
      <c r="D134" s="1367"/>
      <c r="E134" s="1367"/>
      <c r="F134" s="1367"/>
      <c r="G134" s="1367"/>
      <c r="H134" s="1367"/>
      <c r="I134" s="1367"/>
      <c r="J134" s="1367"/>
      <c r="K134" s="1367"/>
      <c r="L134" s="1367"/>
      <c r="M134" s="502"/>
      <c r="N134" s="146"/>
    </row>
    <row r="135" spans="1:14" s="138" customFormat="1" ht="18" customHeight="1">
      <c r="A135" s="510" t="str">
        <f>'Anexo I_BAL ORC'!A98</f>
        <v>a) Despesas liquidadas, consideradas aquelas em que houve a entrega do material ou serviço, nos termos do art. 63 da Lei 4.320/64;</v>
      </c>
      <c r="B135" s="503"/>
      <c r="C135" s="144"/>
      <c r="D135" s="144"/>
      <c r="E135" s="144"/>
      <c r="F135" s="144"/>
      <c r="G135" s="144"/>
      <c r="H135" s="144"/>
      <c r="I135" s="144"/>
      <c r="J135" s="144"/>
      <c r="K135" s="144"/>
      <c r="L135" s="148"/>
      <c r="M135" s="502"/>
      <c r="N135" s="146"/>
    </row>
    <row r="136" spans="1:14" s="138" customFormat="1" ht="18" customHeight="1">
      <c r="A136" s="510" t="str">
        <f>'Anexo I_BAL ORC'!A99</f>
        <v>b) Despesas empenhadas mas não liquidadas, inscritas em Restos a Pagar não-processados, consideradas liquidadas no encerramento do exercício, por força do art.35, inciso II da Lei 4.320/64.</v>
      </c>
      <c r="B136" s="503"/>
      <c r="C136" s="144"/>
      <c r="D136" s="144"/>
      <c r="E136" s="144"/>
      <c r="F136" s="144"/>
      <c r="G136" s="144"/>
      <c r="H136" s="144"/>
      <c r="I136" s="144"/>
      <c r="J136" s="144"/>
      <c r="K136" s="144"/>
      <c r="L136" s="148"/>
      <c r="M136" s="502"/>
      <c r="N136" s="146"/>
    </row>
    <row r="137" spans="1:12" ht="27.75" customHeight="1">
      <c r="A137" s="177" t="str">
        <f>'Anexo I_BAL ORC'!A101</f>
        <v>  São Luís, 26 de Novembro de 2012</v>
      </c>
      <c r="B137" s="177"/>
      <c r="C137" s="178"/>
      <c r="D137" s="178"/>
      <c r="E137" s="178"/>
      <c r="F137" s="180"/>
      <c r="G137" s="178"/>
      <c r="H137" s="180"/>
      <c r="I137" s="180"/>
      <c r="L137" s="178"/>
    </row>
    <row r="138" spans="1:9" s="126" customFormat="1" ht="12.75">
      <c r="A138" s="1368"/>
      <c r="B138" s="1368"/>
      <c r="C138" s="182"/>
      <c r="D138" s="183"/>
      <c r="E138" s="516"/>
      <c r="F138" s="184"/>
      <c r="G138" s="185"/>
      <c r="H138" s="183"/>
      <c r="I138" s="715"/>
    </row>
    <row r="139" spans="1:12" s="126" customFormat="1" ht="12.75">
      <c r="A139" s="1369"/>
      <c r="B139" s="1369"/>
      <c r="C139" s="1369"/>
      <c r="D139" s="1369"/>
      <c r="E139" s="511"/>
      <c r="F139" s="184"/>
      <c r="G139" s="847"/>
      <c r="H139" s="183"/>
      <c r="I139" s="183"/>
      <c r="L139" s="186"/>
    </row>
    <row r="140" ht="18" customHeight="1">
      <c r="F140" s="187"/>
    </row>
    <row r="141" ht="18" customHeight="1">
      <c r="F141" s="847"/>
    </row>
    <row r="142" ht="18" customHeight="1"/>
    <row r="143" spans="1:9" ht="18" customHeight="1">
      <c r="A143" s="177"/>
      <c r="B143" s="177"/>
      <c r="C143" s="177"/>
      <c r="D143" s="183"/>
      <c r="F143" s="190"/>
      <c r="H143" s="190"/>
      <c r="I143" s="190"/>
    </row>
    <row r="144" spans="1:13" ht="18" customHeight="1">
      <c r="A144" s="177"/>
      <c r="B144" s="177"/>
      <c r="C144" s="177"/>
      <c r="D144" s="183"/>
      <c r="F144" s="190"/>
      <c r="H144" s="190"/>
      <c r="I144" s="190"/>
      <c r="J144" s="512"/>
      <c r="L144" s="512"/>
      <c r="M144" s="146"/>
    </row>
    <row r="145" spans="1:9" ht="18" customHeight="1">
      <c r="A145" s="177"/>
      <c r="B145" s="177"/>
      <c r="C145" s="177"/>
      <c r="D145" s="183"/>
      <c r="F145" s="190"/>
      <c r="H145" s="190"/>
      <c r="I145" s="190"/>
    </row>
    <row r="146" spans="1:9" ht="18" customHeight="1">
      <c r="A146" s="177"/>
      <c r="B146" s="177"/>
      <c r="C146" s="177"/>
      <c r="D146" s="183"/>
      <c r="F146" s="190"/>
      <c r="H146" s="190"/>
      <c r="I146" s="190"/>
    </row>
    <row r="147" spans="1:9" ht="18" customHeight="1">
      <c r="A147" s="177"/>
      <c r="B147" s="177"/>
      <c r="C147" s="177"/>
      <c r="D147" s="183"/>
      <c r="F147" s="190"/>
      <c r="H147" s="190"/>
      <c r="I147" s="190"/>
    </row>
    <row r="148" spans="1:9" ht="18" customHeight="1">
      <c r="A148" s="177"/>
      <c r="B148" s="177"/>
      <c r="C148" s="177"/>
      <c r="D148" s="183"/>
      <c r="F148" s="190"/>
      <c r="H148" s="190"/>
      <c r="I148" s="190"/>
    </row>
    <row r="149" spans="1:9" ht="18" customHeight="1">
      <c r="A149" s="177"/>
      <c r="B149" s="177"/>
      <c r="C149" s="177"/>
      <c r="D149" s="183"/>
      <c r="F149" s="190"/>
      <c r="H149" s="190"/>
      <c r="I149" s="190"/>
    </row>
    <row r="150" spans="1:9" ht="18" customHeight="1">
      <c r="A150" s="177"/>
      <c r="B150" s="177"/>
      <c r="C150" s="177"/>
      <c r="D150" s="183"/>
      <c r="F150" s="190"/>
      <c r="H150" s="190"/>
      <c r="I150" s="190"/>
    </row>
    <row r="151" spans="1:9" ht="18" customHeight="1">
      <c r="A151" s="177"/>
      <c r="B151" s="177"/>
      <c r="C151" s="177"/>
      <c r="D151" s="183"/>
      <c r="F151" s="190"/>
      <c r="H151" s="190"/>
      <c r="I151" s="190"/>
    </row>
    <row r="152" spans="1:9" ht="18" customHeight="1">
      <c r="A152" s="177"/>
      <c r="B152" s="177"/>
      <c r="C152" s="177"/>
      <c r="D152" s="183"/>
      <c r="F152" s="190"/>
      <c r="H152" s="190"/>
      <c r="I152" s="190"/>
    </row>
    <row r="153" spans="1:9" ht="18" customHeight="1">
      <c r="A153" s="177"/>
      <c r="B153" s="177"/>
      <c r="C153" s="177"/>
      <c r="D153" s="183"/>
      <c r="F153" s="190"/>
      <c r="H153" s="190"/>
      <c r="I153" s="190"/>
    </row>
    <row r="154" spans="1:9" ht="12.75">
      <c r="A154" s="177"/>
      <c r="B154" s="177"/>
      <c r="C154" s="177"/>
      <c r="D154" s="183"/>
      <c r="F154" s="190"/>
      <c r="H154" s="190"/>
      <c r="I154" s="190"/>
    </row>
    <row r="155" spans="1:9" ht="12.75">
      <c r="A155" s="177"/>
      <c r="B155" s="177"/>
      <c r="C155" s="177"/>
      <c r="D155" s="183"/>
      <c r="F155" s="190"/>
      <c r="H155" s="190"/>
      <c r="I155" s="190"/>
    </row>
    <row r="156" spans="1:9" ht="12.75">
      <c r="A156" s="177"/>
      <c r="B156" s="177"/>
      <c r="C156" s="177"/>
      <c r="D156" s="183"/>
      <c r="F156" s="190"/>
      <c r="H156" s="190"/>
      <c r="I156" s="190"/>
    </row>
    <row r="157" spans="1:9" ht="12.75">
      <c r="A157" s="177"/>
      <c r="B157" s="177"/>
      <c r="C157" s="177"/>
      <c r="D157" s="183"/>
      <c r="F157" s="190"/>
      <c r="H157" s="190"/>
      <c r="I157" s="190"/>
    </row>
    <row r="158" spans="1:9" ht="12.75">
      <c r="A158" s="177"/>
      <c r="B158" s="177"/>
      <c r="C158" s="177"/>
      <c r="D158" s="183"/>
      <c r="F158" s="190"/>
      <c r="H158" s="190"/>
      <c r="I158" s="190"/>
    </row>
    <row r="159" spans="1:9" ht="12.75">
      <c r="A159" s="177"/>
      <c r="B159" s="177"/>
      <c r="C159" s="177"/>
      <c r="D159" s="183"/>
      <c r="F159" s="190"/>
      <c r="H159" s="190"/>
      <c r="I159" s="190"/>
    </row>
    <row r="160" spans="1:9" ht="12.75">
      <c r="A160" s="177"/>
      <c r="B160" s="177"/>
      <c r="C160" s="177"/>
      <c r="D160" s="183"/>
      <c r="F160" s="190"/>
      <c r="H160" s="190"/>
      <c r="I160" s="190"/>
    </row>
    <row r="161" spans="1:9" ht="12.75">
      <c r="A161" s="177"/>
      <c r="B161" s="177"/>
      <c r="C161" s="177"/>
      <c r="D161" s="183"/>
      <c r="F161" s="190"/>
      <c r="H161" s="190"/>
      <c r="I161" s="190"/>
    </row>
    <row r="162" spans="1:9" ht="12.75">
      <c r="A162" s="177"/>
      <c r="B162" s="177"/>
      <c r="C162" s="177"/>
      <c r="D162" s="183"/>
      <c r="F162" s="190"/>
      <c r="H162" s="190"/>
      <c r="I162" s="190"/>
    </row>
    <row r="163" spans="1:9" ht="12.75">
      <c r="A163" s="177"/>
      <c r="B163" s="177"/>
      <c r="C163" s="177"/>
      <c r="D163" s="183"/>
      <c r="F163" s="190"/>
      <c r="H163" s="190"/>
      <c r="I163" s="190"/>
    </row>
    <row r="164" spans="1:9" ht="12.75">
      <c r="A164" s="177"/>
      <c r="B164" s="177"/>
      <c r="C164" s="177"/>
      <c r="D164" s="183"/>
      <c r="F164" s="190"/>
      <c r="H164" s="190"/>
      <c r="I164" s="190"/>
    </row>
    <row r="165" spans="1:4" ht="12.75">
      <c r="A165" s="177"/>
      <c r="B165" s="177"/>
      <c r="C165" s="177"/>
      <c r="D165" s="183"/>
    </row>
    <row r="166" spans="1:4" ht="12.75">
      <c r="A166" s="177"/>
      <c r="B166" s="177"/>
      <c r="C166" s="177"/>
      <c r="D166" s="183"/>
    </row>
    <row r="167" spans="1:4" ht="12.75">
      <c r="A167" s="177"/>
      <c r="B167" s="177"/>
      <c r="C167" s="177"/>
      <c r="D167" s="183"/>
    </row>
    <row r="168" spans="1:4" ht="12.75">
      <c r="A168" s="177"/>
      <c r="B168" s="177"/>
      <c r="C168" s="177"/>
      <c r="D168" s="183"/>
    </row>
    <row r="169" spans="1:4" ht="12.75">
      <c r="A169" s="177"/>
      <c r="B169" s="177"/>
      <c r="C169" s="177"/>
      <c r="D169" s="183"/>
    </row>
    <row r="170" spans="1:4" ht="12.75">
      <c r="A170" s="177"/>
      <c r="B170" s="177"/>
      <c r="C170" s="177"/>
      <c r="D170" s="183"/>
    </row>
    <row r="171" spans="1:4" ht="12.75">
      <c r="A171" s="177"/>
      <c r="B171" s="177"/>
      <c r="C171" s="177"/>
      <c r="D171" s="183"/>
    </row>
    <row r="172" spans="1:4" ht="12.75">
      <c r="A172" s="177"/>
      <c r="B172" s="177"/>
      <c r="C172" s="177"/>
      <c r="D172" s="183"/>
    </row>
    <row r="173" spans="1:4" ht="12.75">
      <c r="A173" s="177"/>
      <c r="B173" s="177"/>
      <c r="C173" s="177"/>
      <c r="D173" s="183"/>
    </row>
    <row r="174" spans="1:4" ht="12.75">
      <c r="A174" s="177"/>
      <c r="B174" s="177"/>
      <c r="C174" s="177"/>
      <c r="D174" s="183"/>
    </row>
    <row r="175" spans="1:4" ht="12.75">
      <c r="A175" s="177"/>
      <c r="B175" s="177"/>
      <c r="C175" s="177"/>
      <c r="D175" s="183"/>
    </row>
    <row r="176" spans="1:4" ht="12.75">
      <c r="A176" s="177"/>
      <c r="B176" s="177"/>
      <c r="C176" s="177"/>
      <c r="D176" s="183"/>
    </row>
    <row r="177" spans="1:4" ht="12.75">
      <c r="A177" s="177"/>
      <c r="B177" s="177"/>
      <c r="C177" s="177"/>
      <c r="D177" s="183"/>
    </row>
    <row r="178" spans="1:4" ht="12.75">
      <c r="A178" s="177"/>
      <c r="B178" s="177"/>
      <c r="C178" s="177"/>
      <c r="D178" s="183"/>
    </row>
    <row r="179" spans="1:4" ht="12.75">
      <c r="A179" s="177"/>
      <c r="B179" s="177"/>
      <c r="C179" s="177"/>
      <c r="D179" s="183"/>
    </row>
    <row r="180" spans="1:4" ht="12.75">
      <c r="A180" s="177"/>
      <c r="B180" s="177"/>
      <c r="C180" s="177"/>
      <c r="D180" s="183"/>
    </row>
    <row r="181" spans="1:4" ht="12.75">
      <c r="A181" s="177"/>
      <c r="B181" s="177"/>
      <c r="C181" s="177"/>
      <c r="D181" s="183"/>
    </row>
    <row r="182" spans="1:4" ht="12.75">
      <c r="A182" s="177"/>
      <c r="B182" s="177"/>
      <c r="C182" s="177"/>
      <c r="D182" s="183"/>
    </row>
    <row r="183" spans="1:4" ht="12.75">
      <c r="A183" s="177"/>
      <c r="B183" s="177"/>
      <c r="C183" s="177"/>
      <c r="D183" s="183"/>
    </row>
    <row r="184" spans="1:4" ht="12.75">
      <c r="A184" s="177"/>
      <c r="B184" s="177"/>
      <c r="C184" s="177"/>
      <c r="D184" s="183"/>
    </row>
    <row r="185" spans="1:4" ht="12.75">
      <c r="A185" s="177"/>
      <c r="B185" s="177"/>
      <c r="C185" s="177"/>
      <c r="D185" s="183"/>
    </row>
    <row r="186" spans="1:4" ht="12.75">
      <c r="A186" s="177"/>
      <c r="B186" s="177"/>
      <c r="C186" s="177"/>
      <c r="D186" s="183"/>
    </row>
    <row r="187" spans="1:4" ht="12.75">
      <c r="A187" s="177"/>
      <c r="B187" s="177"/>
      <c r="C187" s="177"/>
      <c r="D187" s="183"/>
    </row>
    <row r="188" spans="1:4" ht="12.75">
      <c r="A188" s="177"/>
      <c r="B188" s="177"/>
      <c r="C188" s="177"/>
      <c r="D188" s="183"/>
    </row>
    <row r="189" spans="1:4" ht="12.75">
      <c r="A189" s="177"/>
      <c r="B189" s="177"/>
      <c r="C189" s="177"/>
      <c r="D189" s="183"/>
    </row>
    <row r="190" spans="1:4" ht="12.75">
      <c r="A190" s="177"/>
      <c r="B190" s="177"/>
      <c r="C190" s="177"/>
      <c r="D190" s="183"/>
    </row>
    <row r="191" spans="1:4" ht="12.75">
      <c r="A191" s="177"/>
      <c r="B191" s="177"/>
      <c r="C191" s="177"/>
      <c r="D191" s="183"/>
    </row>
    <row r="192" spans="1:4" ht="12.75">
      <c r="A192" s="177"/>
      <c r="B192" s="177"/>
      <c r="C192" s="177"/>
      <c r="D192" s="183"/>
    </row>
    <row r="193" spans="1:4" ht="12.75">
      <c r="A193" s="177"/>
      <c r="B193" s="177"/>
      <c r="C193" s="177"/>
      <c r="D193" s="183"/>
    </row>
    <row r="194" spans="1:4" ht="12.75">
      <c r="A194" s="177"/>
      <c r="B194" s="177"/>
      <c r="C194" s="177"/>
      <c r="D194" s="183"/>
    </row>
    <row r="195" spans="1:4" ht="12.75">
      <c r="A195" s="177"/>
      <c r="B195" s="177"/>
      <c r="C195" s="177"/>
      <c r="D195" s="183"/>
    </row>
    <row r="196" spans="1:4" ht="12.75">
      <c r="A196" s="177"/>
      <c r="B196" s="177"/>
      <c r="C196" s="177"/>
      <c r="D196" s="183"/>
    </row>
    <row r="197" spans="1:4" ht="12.75">
      <c r="A197" s="177"/>
      <c r="B197" s="177"/>
      <c r="C197" s="177"/>
      <c r="D197" s="183"/>
    </row>
    <row r="198" spans="1:4" ht="12.75">
      <c r="A198" s="177"/>
      <c r="B198" s="177"/>
      <c r="C198" s="177"/>
      <c r="D198" s="183"/>
    </row>
    <row r="199" spans="1:4" ht="12.75">
      <c r="A199" s="177"/>
      <c r="B199" s="177"/>
      <c r="C199" s="177"/>
      <c r="D199" s="183"/>
    </row>
    <row r="200" spans="1:4" ht="12.75">
      <c r="A200" s="177"/>
      <c r="B200" s="177"/>
      <c r="C200" s="177"/>
      <c r="D200" s="183"/>
    </row>
    <row r="201" spans="1:4" ht="12.75">
      <c r="A201" s="177"/>
      <c r="B201" s="177"/>
      <c r="C201" s="177"/>
      <c r="D201" s="183"/>
    </row>
    <row r="202" spans="1:4" ht="12.75">
      <c r="A202" s="177"/>
      <c r="B202" s="177"/>
      <c r="C202" s="177"/>
      <c r="D202" s="183"/>
    </row>
    <row r="203" spans="1:4" ht="12.75">
      <c r="A203" s="177"/>
      <c r="B203" s="177"/>
      <c r="C203" s="177"/>
      <c r="D203" s="183"/>
    </row>
    <row r="204" spans="1:4" ht="12.75">
      <c r="A204" s="177"/>
      <c r="B204" s="177"/>
      <c r="C204" s="177"/>
      <c r="D204" s="183"/>
    </row>
    <row r="205" spans="1:4" ht="12.75">
      <c r="A205" s="177"/>
      <c r="B205" s="177"/>
      <c r="C205" s="177"/>
      <c r="D205" s="183"/>
    </row>
    <row r="206" spans="1:4" ht="12.75">
      <c r="A206" s="177"/>
      <c r="B206" s="177"/>
      <c r="C206" s="177"/>
      <c r="D206" s="183"/>
    </row>
    <row r="207" spans="1:4" ht="12.75">
      <c r="A207" s="177"/>
      <c r="B207" s="177"/>
      <c r="C207" s="177"/>
      <c r="D207" s="183"/>
    </row>
    <row r="208" spans="1:4" ht="12.75">
      <c r="A208" s="177"/>
      <c r="B208" s="177"/>
      <c r="C208" s="177"/>
      <c r="D208" s="183"/>
    </row>
    <row r="209" spans="1:4" ht="12.75">
      <c r="A209" s="177"/>
      <c r="B209" s="177"/>
      <c r="C209" s="177"/>
      <c r="D209" s="183"/>
    </row>
    <row r="210" spans="1:4" ht="12.75">
      <c r="A210" s="177"/>
      <c r="B210" s="177"/>
      <c r="C210" s="177"/>
      <c r="D210" s="183"/>
    </row>
    <row r="211" spans="1:4" ht="12.75">
      <c r="A211" s="177"/>
      <c r="B211" s="177"/>
      <c r="C211" s="177"/>
      <c r="D211" s="183"/>
    </row>
    <row r="212" spans="1:4" ht="12.75">
      <c r="A212" s="177"/>
      <c r="B212" s="177"/>
      <c r="C212" s="177"/>
      <c r="D212" s="183"/>
    </row>
    <row r="213" spans="1:4" ht="12.75">
      <c r="A213" s="177"/>
      <c r="B213" s="177"/>
      <c r="C213" s="177"/>
      <c r="D213" s="183"/>
    </row>
    <row r="214" spans="1:4" ht="12.75">
      <c r="A214" s="177"/>
      <c r="B214" s="177"/>
      <c r="C214" s="177"/>
      <c r="D214" s="183"/>
    </row>
    <row r="215" spans="1:4" ht="12.75">
      <c r="A215" s="177"/>
      <c r="B215" s="177"/>
      <c r="C215" s="177"/>
      <c r="D215" s="183"/>
    </row>
    <row r="216" spans="1:4" ht="12.75">
      <c r="A216" s="177"/>
      <c r="B216" s="177"/>
      <c r="C216" s="177"/>
      <c r="D216" s="183"/>
    </row>
    <row r="217" spans="1:4" ht="12.75">
      <c r="A217" s="177"/>
      <c r="B217" s="177"/>
      <c r="C217" s="177"/>
      <c r="D217" s="183"/>
    </row>
    <row r="218" spans="1:4" ht="12.75">
      <c r="A218" s="177"/>
      <c r="B218" s="177"/>
      <c r="C218" s="177"/>
      <c r="D218" s="183"/>
    </row>
    <row r="219" spans="1:4" ht="12.75">
      <c r="A219" s="177"/>
      <c r="B219" s="177"/>
      <c r="C219" s="177"/>
      <c r="D219" s="183"/>
    </row>
    <row r="220" spans="1:4" ht="12.75">
      <c r="A220" s="177"/>
      <c r="B220" s="177"/>
      <c r="C220" s="177"/>
      <c r="D220" s="183"/>
    </row>
    <row r="221" spans="1:4" ht="12.75">
      <c r="A221" s="177"/>
      <c r="B221" s="177"/>
      <c r="C221" s="177"/>
      <c r="D221" s="183"/>
    </row>
    <row r="222" spans="1:4" ht="12.75">
      <c r="A222" s="177"/>
      <c r="B222" s="177"/>
      <c r="C222" s="177"/>
      <c r="D222" s="183"/>
    </row>
    <row r="223" spans="1:4" ht="12.75">
      <c r="A223" s="177"/>
      <c r="B223" s="177"/>
      <c r="C223" s="177"/>
      <c r="D223" s="183"/>
    </row>
    <row r="224" spans="1:4" ht="12.75">
      <c r="A224" s="177"/>
      <c r="B224" s="177"/>
      <c r="C224" s="177"/>
      <c r="D224" s="183"/>
    </row>
    <row r="225" spans="1:4" ht="12.75">
      <c r="A225" s="177"/>
      <c r="B225" s="177"/>
      <c r="C225" s="177"/>
      <c r="D225" s="183"/>
    </row>
    <row r="226" spans="1:4" ht="12.75">
      <c r="A226" s="177"/>
      <c r="B226" s="177"/>
      <c r="C226" s="177"/>
      <c r="D226" s="183"/>
    </row>
    <row r="227" spans="1:4" ht="12.75">
      <c r="A227" s="177"/>
      <c r="B227" s="177"/>
      <c r="C227" s="177"/>
      <c r="D227" s="183"/>
    </row>
    <row r="228" spans="1:4" ht="12.75">
      <c r="A228" s="177"/>
      <c r="B228" s="177"/>
      <c r="C228" s="177"/>
      <c r="D228" s="183"/>
    </row>
    <row r="229" spans="1:4" ht="12.75">
      <c r="A229" s="177"/>
      <c r="B229" s="177"/>
      <c r="C229" s="177"/>
      <c r="D229" s="183"/>
    </row>
    <row r="230" spans="1:4" ht="12.75">
      <c r="A230" s="177"/>
      <c r="B230" s="177"/>
      <c r="C230" s="177"/>
      <c r="D230" s="183"/>
    </row>
    <row r="231" spans="1:4" ht="12.75">
      <c r="A231" s="177"/>
      <c r="B231" s="177"/>
      <c r="C231" s="177"/>
      <c r="D231" s="183"/>
    </row>
    <row r="232" spans="1:4" ht="12.75">
      <c r="A232" s="177"/>
      <c r="B232" s="177"/>
      <c r="C232" s="177"/>
      <c r="D232" s="183"/>
    </row>
    <row r="233" spans="1:4" ht="12.75">
      <c r="A233" s="177"/>
      <c r="B233" s="177"/>
      <c r="C233" s="177"/>
      <c r="D233" s="183"/>
    </row>
    <row r="234" spans="1:4" ht="12.75">
      <c r="A234" s="177"/>
      <c r="B234" s="177"/>
      <c r="C234" s="177"/>
      <c r="D234" s="183"/>
    </row>
    <row r="235" spans="1:4" ht="12.75">
      <c r="A235" s="177"/>
      <c r="B235" s="177"/>
      <c r="C235" s="177"/>
      <c r="D235" s="183"/>
    </row>
    <row r="236" spans="1:4" ht="12.75">
      <c r="A236" s="177"/>
      <c r="B236" s="177"/>
      <c r="C236" s="177"/>
      <c r="D236" s="183"/>
    </row>
    <row r="237" spans="1:4" ht="12.75">
      <c r="A237" s="177"/>
      <c r="B237" s="177"/>
      <c r="C237" s="177"/>
      <c r="D237" s="183"/>
    </row>
    <row r="238" spans="1:4" ht="12.75">
      <c r="A238" s="177"/>
      <c r="B238" s="177"/>
      <c r="C238" s="177"/>
      <c r="D238" s="183"/>
    </row>
    <row r="239" spans="1:4" ht="12.75">
      <c r="A239" s="177"/>
      <c r="B239" s="177"/>
      <c r="C239" s="177"/>
      <c r="D239" s="183"/>
    </row>
    <row r="240" spans="1:4" ht="12.75">
      <c r="A240" s="177"/>
      <c r="B240" s="177"/>
      <c r="C240" s="177"/>
      <c r="D240" s="183"/>
    </row>
    <row r="241" spans="1:4" ht="12.75">
      <c r="A241" s="177"/>
      <c r="B241" s="177"/>
      <c r="C241" s="177"/>
      <c r="D241" s="183"/>
    </row>
    <row r="242" spans="1:4" ht="12.75">
      <c r="A242" s="177"/>
      <c r="B242" s="177"/>
      <c r="C242" s="177"/>
      <c r="D242" s="183"/>
    </row>
    <row r="243" spans="1:4" ht="12.75">
      <c r="A243" s="177"/>
      <c r="B243" s="177"/>
      <c r="C243" s="177"/>
      <c r="D243" s="183"/>
    </row>
    <row r="244" spans="1:4" ht="12.75">
      <c r="A244" s="177"/>
      <c r="B244" s="177"/>
      <c r="C244" s="177"/>
      <c r="D244" s="183"/>
    </row>
    <row r="245" spans="1:4" ht="12.75">
      <c r="A245" s="177"/>
      <c r="B245" s="177"/>
      <c r="C245" s="177"/>
      <c r="D245" s="183"/>
    </row>
    <row r="246" spans="1:4" ht="12.75">
      <c r="A246" s="177"/>
      <c r="B246" s="177"/>
      <c r="C246" s="177"/>
      <c r="D246" s="183"/>
    </row>
    <row r="247" spans="1:4" ht="12.75">
      <c r="A247" s="177"/>
      <c r="B247" s="177"/>
      <c r="C247" s="177"/>
      <c r="D247" s="183"/>
    </row>
    <row r="248" spans="1:4" ht="12.75">
      <c r="A248" s="177"/>
      <c r="B248" s="177"/>
      <c r="C248" s="177"/>
      <c r="D248" s="183"/>
    </row>
    <row r="249" spans="1:4" ht="12.75">
      <c r="A249" s="177"/>
      <c r="B249" s="177"/>
      <c r="C249" s="177"/>
      <c r="D249" s="183"/>
    </row>
    <row r="250" spans="1:4" ht="12.75">
      <c r="A250" s="177"/>
      <c r="B250" s="177"/>
      <c r="C250" s="177"/>
      <c r="D250" s="183"/>
    </row>
    <row r="251" spans="1:4" ht="12.75">
      <c r="A251" s="177"/>
      <c r="B251" s="177"/>
      <c r="C251" s="177"/>
      <c r="D251" s="183"/>
    </row>
    <row r="252" spans="1:4" ht="12.75">
      <c r="A252" s="177"/>
      <c r="B252" s="177"/>
      <c r="C252" s="177"/>
      <c r="D252" s="183"/>
    </row>
    <row r="253" spans="1:4" ht="12.75">
      <c r="A253" s="177"/>
      <c r="B253" s="177"/>
      <c r="C253" s="177"/>
      <c r="D253" s="183"/>
    </row>
    <row r="254" spans="1:4" ht="12.75">
      <c r="A254" s="177"/>
      <c r="B254" s="177"/>
      <c r="C254" s="177"/>
      <c r="D254" s="183"/>
    </row>
    <row r="255" spans="1:4" ht="12.75">
      <c r="A255" s="177"/>
      <c r="B255" s="177"/>
      <c r="C255" s="177"/>
      <c r="D255" s="183"/>
    </row>
    <row r="256" spans="1:4" ht="12.75">
      <c r="A256" s="177"/>
      <c r="B256" s="177"/>
      <c r="C256" s="177"/>
      <c r="D256" s="183"/>
    </row>
  </sheetData>
  <sheetProtection/>
  <mergeCells count="105">
    <mergeCell ref="A129:B129"/>
    <mergeCell ref="A132:B132"/>
    <mergeCell ref="A134:L134"/>
    <mergeCell ref="A138:B138"/>
    <mergeCell ref="A139:D139"/>
    <mergeCell ref="A123:B123"/>
    <mergeCell ref="A124:B124"/>
    <mergeCell ref="A125:B125"/>
    <mergeCell ref="A126:B126"/>
    <mergeCell ref="A127:B127"/>
    <mergeCell ref="A128:B128"/>
    <mergeCell ref="A116:B116"/>
    <mergeCell ref="A117:B117"/>
    <mergeCell ref="A119:B119"/>
    <mergeCell ref="A120:B120"/>
    <mergeCell ref="A121:B121"/>
    <mergeCell ref="A122:B122"/>
    <mergeCell ref="A108:B108"/>
    <mergeCell ref="A110:B110"/>
    <mergeCell ref="A111:B111"/>
    <mergeCell ref="A112:B112"/>
    <mergeCell ref="A114:B114"/>
    <mergeCell ref="A115:B115"/>
    <mergeCell ref="A101:B101"/>
    <mergeCell ref="A102:B102"/>
    <mergeCell ref="A103:B103"/>
    <mergeCell ref="A104:B104"/>
    <mergeCell ref="A106:B106"/>
    <mergeCell ref="A107:B107"/>
    <mergeCell ref="A92:B92"/>
    <mergeCell ref="A93:B93"/>
    <mergeCell ref="A97:B97"/>
    <mergeCell ref="A98:B98"/>
    <mergeCell ref="A99:B99"/>
    <mergeCell ref="A100:B100"/>
    <mergeCell ref="L86:L88"/>
    <mergeCell ref="G87:H87"/>
    <mergeCell ref="I87:I89"/>
    <mergeCell ref="J88:J89"/>
    <mergeCell ref="B81:F81"/>
    <mergeCell ref="A90:B90"/>
    <mergeCell ref="A77:B77"/>
    <mergeCell ref="J78:K78"/>
    <mergeCell ref="A83:F83"/>
    <mergeCell ref="A86:B88"/>
    <mergeCell ref="E86:F87"/>
    <mergeCell ref="G86:K86"/>
    <mergeCell ref="B79:D79"/>
    <mergeCell ref="B80:F80"/>
    <mergeCell ref="B82:D82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7:B57"/>
    <mergeCell ref="A58:B58"/>
    <mergeCell ref="A59:B59"/>
    <mergeCell ref="A60:B60"/>
    <mergeCell ref="A62:B62"/>
    <mergeCell ref="A63:B63"/>
    <mergeCell ref="A45:B45"/>
    <mergeCell ref="A51:B51"/>
    <mergeCell ref="A53:B53"/>
    <mergeCell ref="A55:B55"/>
    <mergeCell ref="A56:B56"/>
    <mergeCell ref="A52:B52"/>
    <mergeCell ref="A34:B34"/>
    <mergeCell ref="A35:B35"/>
    <mergeCell ref="A36:B36"/>
    <mergeCell ref="A37:B37"/>
    <mergeCell ref="A38:B38"/>
    <mergeCell ref="A39:B39"/>
    <mergeCell ref="A23:B23"/>
    <mergeCell ref="A24:B24"/>
    <mergeCell ref="A30:B30"/>
    <mergeCell ref="A31:B31"/>
    <mergeCell ref="A32:B32"/>
    <mergeCell ref="A33:B33"/>
    <mergeCell ref="A17:B17"/>
    <mergeCell ref="A18:B18"/>
    <mergeCell ref="A19:B19"/>
    <mergeCell ref="A20:B20"/>
    <mergeCell ref="A21:B21"/>
    <mergeCell ref="A22:B22"/>
    <mergeCell ref="G8:K8"/>
    <mergeCell ref="L8:L10"/>
    <mergeCell ref="G9:H9"/>
    <mergeCell ref="I9:I11"/>
    <mergeCell ref="J10:J11"/>
    <mergeCell ref="A12:B12"/>
    <mergeCell ref="A16:B16"/>
    <mergeCell ref="A5:F5"/>
    <mergeCell ref="A8:B10"/>
    <mergeCell ref="E8:F9"/>
    <mergeCell ref="A13:B13"/>
    <mergeCell ref="A14:B14"/>
    <mergeCell ref="A15:B15"/>
  </mergeCells>
  <printOptions horizontalCentered="1"/>
  <pageMargins left="0.42986111111111114" right="0.23611111111111113" top="0.5" bottom="0.39375" header="0.39" footer="0"/>
  <pageSetup fitToHeight="0" fitToWidth="1" horizontalDpi="300" verticalDpi="300" orientation="portrait" paperSize="9" scale="53" r:id="rId2"/>
  <headerFooter alignWithMargins="0">
    <oddFooter>&amp;C&amp;A</oddFooter>
  </headerFooter>
  <rowBreaks count="1" manualBreakCount="1">
    <brk id="78" max="255" man="1"/>
  </rowBreaks>
  <ignoredErrors>
    <ignoredError sqref="E102 G102 L102 D13 L17 L20 F17:G17 H69 G11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D80"/>
  <sheetViews>
    <sheetView showGridLines="0" zoomScaleSheetLayoutView="109" zoomScalePageLayoutView="0" workbookViewId="0" topLeftCell="A1">
      <selection activeCell="O13" sqref="O13"/>
    </sheetView>
  </sheetViews>
  <sheetFormatPr defaultColWidth="9.140625" defaultRowHeight="15" customHeight="1"/>
  <cols>
    <col min="1" max="1" width="31.28125" style="191" customWidth="1"/>
    <col min="2" max="2" width="13.00390625" style="137" hidden="1" customWidth="1"/>
    <col min="3" max="3" width="13.57421875" style="136" hidden="1" customWidth="1"/>
    <col min="4" max="15" width="15.421875" style="135" customWidth="1"/>
    <col min="16" max="16" width="15.00390625" style="693" customWidth="1"/>
    <col min="17" max="17" width="18.00390625" style="136" customWidth="1"/>
    <col min="18" max="18" width="16.7109375" style="136" customWidth="1"/>
    <col min="19" max="20" width="14.57421875" style="136" customWidth="1"/>
    <col min="21" max="21" width="13.57421875" style="136" bestFit="1" customWidth="1"/>
    <col min="22" max="23" width="11.140625" style="136" bestFit="1" customWidth="1"/>
    <col min="24" max="16384" width="9.140625" style="136" customWidth="1"/>
  </cols>
  <sheetData>
    <row r="1" spans="1:21" ht="15" customHeight="1">
      <c r="A1" s="1372" t="s">
        <v>210</v>
      </c>
      <c r="B1" s="1372"/>
      <c r="C1" s="1372"/>
      <c r="D1" s="1372"/>
      <c r="E1" s="1372"/>
      <c r="F1" s="1372"/>
      <c r="G1" s="1372"/>
      <c r="H1" s="1372"/>
      <c r="I1" s="1372"/>
      <c r="J1" s="1372"/>
      <c r="K1" s="1372"/>
      <c r="L1" s="1372"/>
      <c r="M1" s="1372"/>
      <c r="N1" s="1372"/>
      <c r="O1" s="1372"/>
      <c r="P1" s="1372"/>
      <c r="Q1" s="1372"/>
      <c r="R1" s="135"/>
      <c r="S1" s="135"/>
      <c r="T1" s="135"/>
      <c r="U1" s="135"/>
    </row>
    <row r="2" spans="1:21" ht="15" customHeight="1">
      <c r="A2" s="1372" t="s">
        <v>0</v>
      </c>
      <c r="B2" s="1372"/>
      <c r="C2" s="1372"/>
      <c r="D2" s="1372"/>
      <c r="E2" s="1372"/>
      <c r="F2" s="1372"/>
      <c r="G2" s="1372"/>
      <c r="H2" s="1372"/>
      <c r="I2" s="1372"/>
      <c r="J2" s="1372"/>
      <c r="K2" s="1372"/>
      <c r="L2" s="1372"/>
      <c r="M2" s="1372"/>
      <c r="N2" s="1372"/>
      <c r="O2" s="1372"/>
      <c r="P2" s="1372"/>
      <c r="Q2" s="1372"/>
      <c r="R2" s="135"/>
      <c r="S2" s="135"/>
      <c r="T2" s="135"/>
      <c r="U2" s="135"/>
    </row>
    <row r="3" spans="1:21" ht="15" customHeight="1">
      <c r="A3" s="1373" t="s">
        <v>211</v>
      </c>
      <c r="B3" s="1373"/>
      <c r="C3" s="1373"/>
      <c r="D3" s="1373"/>
      <c r="E3" s="1373"/>
      <c r="F3" s="1373"/>
      <c r="G3" s="1373"/>
      <c r="H3" s="1373"/>
      <c r="I3" s="1373"/>
      <c r="J3" s="1373"/>
      <c r="K3" s="1373"/>
      <c r="L3" s="1373"/>
      <c r="M3" s="1373"/>
      <c r="N3" s="1373"/>
      <c r="O3" s="1373"/>
      <c r="P3" s="1373"/>
      <c r="Q3" s="1373"/>
      <c r="R3" s="135"/>
      <c r="S3" s="135"/>
      <c r="T3" s="135"/>
      <c r="U3" s="135"/>
    </row>
    <row r="4" spans="1:21" ht="15" customHeight="1">
      <c r="A4" s="1374" t="s">
        <v>2</v>
      </c>
      <c r="B4" s="1374"/>
      <c r="C4" s="1374"/>
      <c r="D4" s="1374"/>
      <c r="E4" s="1374"/>
      <c r="F4" s="1374"/>
      <c r="G4" s="1374"/>
      <c r="H4" s="1374"/>
      <c r="I4" s="1374"/>
      <c r="J4" s="1374"/>
      <c r="K4" s="1374"/>
      <c r="L4" s="1374"/>
      <c r="M4" s="1374"/>
      <c r="N4" s="1374"/>
      <c r="O4" s="1374"/>
      <c r="P4" s="1374"/>
      <c r="Q4" s="1374"/>
      <c r="R4" s="464"/>
      <c r="S4" s="135"/>
      <c r="T4" s="135"/>
      <c r="U4" s="135"/>
    </row>
    <row r="5" spans="1:21" s="1" customFormat="1" ht="15.75" customHeight="1">
      <c r="A5" s="549" t="str">
        <f>'Anexo II_DP FUNC'!A5:F5</f>
        <v>Referência: JANEIRO-OUTUBRO/2012; BIMESTRE: SETEMBRO/OUTUBRO/2012</v>
      </c>
      <c r="B5" s="549"/>
      <c r="C5" s="549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692" t="str">
        <f>'Anexo I_BAL ORC'!H3</f>
        <v>Publicação: Diário Oficial do Município nº 227</v>
      </c>
      <c r="Q5" s="255"/>
      <c r="R5" s="91"/>
      <c r="S5" s="91"/>
      <c r="T5" s="91"/>
      <c r="U5" s="37"/>
    </row>
    <row r="6" spans="1:21" ht="15" customHeight="1">
      <c r="A6" s="550"/>
      <c r="B6" s="550"/>
      <c r="C6" s="550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692" t="str">
        <f>'Anexo I_BAL ORC'!H4</f>
        <v>Data: 26/11/2012</v>
      </c>
      <c r="Q6" s="196"/>
      <c r="R6" s="197"/>
      <c r="S6" s="197"/>
      <c r="T6" s="197"/>
      <c r="U6" s="135"/>
    </row>
    <row r="7" spans="1:21" ht="15" customHeight="1">
      <c r="A7" s="1290" t="s">
        <v>681</v>
      </c>
      <c r="B7" s="551"/>
      <c r="C7" s="135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Q7" s="490"/>
      <c r="R7" s="701"/>
      <c r="S7" s="197"/>
      <c r="T7" s="197"/>
      <c r="U7" s="135"/>
    </row>
    <row r="8" spans="1:18" s="135" customFormat="1" ht="15" customHeight="1">
      <c r="A8" s="1375" t="s">
        <v>212</v>
      </c>
      <c r="B8" s="1377"/>
      <c r="C8" s="1378"/>
      <c r="D8" s="1370" t="s">
        <v>685</v>
      </c>
      <c r="E8" s="1370" t="s">
        <v>686</v>
      </c>
      <c r="F8" s="1370" t="s">
        <v>690</v>
      </c>
      <c r="G8" s="1370" t="s">
        <v>691</v>
      </c>
      <c r="H8" s="1370" t="s">
        <v>708</v>
      </c>
      <c r="I8" s="1370" t="s">
        <v>709</v>
      </c>
      <c r="J8" s="1383" t="s">
        <v>724</v>
      </c>
      <c r="K8" s="1370" t="s">
        <v>725</v>
      </c>
      <c r="L8" s="1370" t="s">
        <v>777</v>
      </c>
      <c r="M8" s="1370" t="s">
        <v>778</v>
      </c>
      <c r="N8" s="1370" t="s">
        <v>783</v>
      </c>
      <c r="O8" s="1370" t="s">
        <v>784</v>
      </c>
      <c r="P8" s="1379" t="s">
        <v>779</v>
      </c>
      <c r="Q8" s="1381" t="s">
        <v>713</v>
      </c>
      <c r="R8" s="710"/>
    </row>
    <row r="9" spans="1:18" s="135" customFormat="1" ht="15" customHeight="1">
      <c r="A9" s="1376"/>
      <c r="B9" s="199" t="s">
        <v>213</v>
      </c>
      <c r="C9" s="199" t="s">
        <v>214</v>
      </c>
      <c r="D9" s="1371"/>
      <c r="E9" s="1371"/>
      <c r="F9" s="1371"/>
      <c r="G9" s="1371"/>
      <c r="H9" s="1371"/>
      <c r="I9" s="1371"/>
      <c r="J9" s="1384"/>
      <c r="K9" s="1371"/>
      <c r="L9" s="1371"/>
      <c r="M9" s="1371"/>
      <c r="N9" s="1371"/>
      <c r="O9" s="1371"/>
      <c r="P9" s="1380"/>
      <c r="Q9" s="1382"/>
      <c r="R9" s="209"/>
    </row>
    <row r="10" spans="1:21" s="200" customFormat="1" ht="15" customHeight="1">
      <c r="A10" s="1146" t="s">
        <v>215</v>
      </c>
      <c r="B10" s="552">
        <f>B11+B17+B18+B19+B20+B29</f>
        <v>127873694.01</v>
      </c>
      <c r="C10" s="552">
        <f>C11+C17+C18+C19+C20+C29</f>
        <v>130000401.16999999</v>
      </c>
      <c r="D10" s="691">
        <f aca="true" t="shared" si="0" ref="D10:O10">D11+D17+D18+D19+D20+D29</f>
        <v>167535435.06</v>
      </c>
      <c r="E10" s="691">
        <f t="shared" si="0"/>
        <v>283294991.2</v>
      </c>
      <c r="F10" s="691">
        <f t="shared" si="0"/>
        <v>164619363.62</v>
      </c>
      <c r="G10" s="691">
        <f t="shared" si="0"/>
        <v>155486095.22</v>
      </c>
      <c r="H10" s="691">
        <f t="shared" si="0"/>
        <v>154636454.66000003</v>
      </c>
      <c r="I10" s="691">
        <f t="shared" si="0"/>
        <v>180886562.26999998</v>
      </c>
      <c r="J10" s="691">
        <f t="shared" si="0"/>
        <v>184059824.18</v>
      </c>
      <c r="K10" s="691">
        <f t="shared" si="0"/>
        <v>152507552.51</v>
      </c>
      <c r="L10" s="691">
        <f t="shared" si="0"/>
        <v>157342466.36</v>
      </c>
      <c r="M10" s="691">
        <f t="shared" si="0"/>
        <v>158910064.36</v>
      </c>
      <c r="N10" s="691">
        <f t="shared" si="0"/>
        <v>143292546.42000002</v>
      </c>
      <c r="O10" s="691">
        <f t="shared" si="0"/>
        <v>149684556.52999997</v>
      </c>
      <c r="P10" s="691">
        <f>P11+P17+P18+P19+P20+P29</f>
        <v>2052255912.39</v>
      </c>
      <c r="Q10" s="1137">
        <f>Q11+Q17+Q18+Q19+Q20+Q29</f>
        <v>2561577163.49</v>
      </c>
      <c r="R10" s="819"/>
      <c r="S10" s="197"/>
      <c r="T10" s="197"/>
      <c r="U10" s="464"/>
    </row>
    <row r="11" spans="1:30" s="200" customFormat="1" ht="15" customHeight="1">
      <c r="A11" s="1147" t="s">
        <v>216</v>
      </c>
      <c r="B11" s="854">
        <f>B12+B13+B14+B16+B15</f>
        <v>34116237.169999994</v>
      </c>
      <c r="C11" s="854">
        <f>C12+C13+C14+C16+C15</f>
        <v>26251771.72</v>
      </c>
      <c r="D11" s="855">
        <f>D12+D13+D14+D15+D16</f>
        <v>37761244.089999996</v>
      </c>
      <c r="E11" s="855">
        <f aca="true" t="shared" si="1" ref="E11:Q11">E12+E13+E14+E15+E16</f>
        <v>47048334.82</v>
      </c>
      <c r="F11" s="855">
        <f t="shared" si="1"/>
        <v>44600270.529999994</v>
      </c>
      <c r="G11" s="855">
        <f t="shared" si="1"/>
        <v>32533587.169999998</v>
      </c>
      <c r="H11" s="855">
        <f t="shared" si="1"/>
        <v>37264163.85000001</v>
      </c>
      <c r="I11" s="855">
        <f t="shared" si="1"/>
        <v>46346136.64999999</v>
      </c>
      <c r="J11" s="855">
        <f t="shared" si="1"/>
        <v>52963715.65000001</v>
      </c>
      <c r="K11" s="855">
        <f t="shared" si="1"/>
        <v>38910288.989999995</v>
      </c>
      <c r="L11" s="855">
        <f t="shared" si="1"/>
        <v>39495173.21</v>
      </c>
      <c r="M11" s="855">
        <f t="shared" si="1"/>
        <v>44930876.94</v>
      </c>
      <c r="N11" s="855">
        <f t="shared" si="1"/>
        <v>40211850.85</v>
      </c>
      <c r="O11" s="855">
        <f t="shared" si="1"/>
        <v>39551731.54999999</v>
      </c>
      <c r="P11" s="855">
        <f t="shared" si="1"/>
        <v>501617374.3</v>
      </c>
      <c r="Q11" s="1138">
        <f t="shared" si="1"/>
        <v>689832515</v>
      </c>
      <c r="R11" s="576"/>
      <c r="S11" s="576"/>
      <c r="T11" s="576"/>
      <c r="U11" s="857"/>
      <c r="V11" s="833"/>
      <c r="W11" s="833"/>
      <c r="X11" s="833"/>
      <c r="Y11" s="833"/>
      <c r="Z11" s="833"/>
      <c r="AA11" s="833"/>
      <c r="AB11" s="833"/>
      <c r="AC11" s="833"/>
      <c r="AD11" s="833"/>
    </row>
    <row r="12" spans="1:21" s="135" customFormat="1" ht="15" customHeight="1">
      <c r="A12" s="1148" t="s">
        <v>217</v>
      </c>
      <c r="B12" s="201">
        <v>10930798.32</v>
      </c>
      <c r="C12" s="201">
        <v>2532213.38</v>
      </c>
      <c r="D12" s="218">
        <v>2801041.28</v>
      </c>
      <c r="E12" s="218">
        <v>4425225.35</v>
      </c>
      <c r="F12" s="218">
        <v>684183.3</v>
      </c>
      <c r="G12" s="218">
        <v>801532.29</v>
      </c>
      <c r="H12" s="218">
        <v>813795.85</v>
      </c>
      <c r="I12" s="218">
        <v>7933932.12</v>
      </c>
      <c r="J12" s="218">
        <f>13779538.71+1091.38</f>
        <v>13780630.090000002</v>
      </c>
      <c r="K12" s="218">
        <v>2509502.54</v>
      </c>
      <c r="L12" s="218">
        <v>2204724.76</v>
      </c>
      <c r="M12" s="218">
        <v>2355469.46</v>
      </c>
      <c r="N12" s="218">
        <v>1747854.24</v>
      </c>
      <c r="O12" s="218">
        <v>2204606.13</v>
      </c>
      <c r="P12" s="694">
        <f aca="true" t="shared" si="2" ref="P12:P19">SUM(D12:O12)</f>
        <v>42262497.410000004</v>
      </c>
      <c r="Q12" s="1139">
        <v>116059302</v>
      </c>
      <c r="R12" s="197"/>
      <c r="S12" s="197"/>
      <c r="T12" s="197"/>
      <c r="U12" s="707"/>
    </row>
    <row r="13" spans="1:23" s="135" customFormat="1" ht="15" customHeight="1">
      <c r="A13" s="1148" t="s">
        <v>218</v>
      </c>
      <c r="B13" s="201">
        <v>19872263.16</v>
      </c>
      <c r="C13" s="201">
        <v>20590409.12</v>
      </c>
      <c r="D13" s="218">
        <v>30468609.12</v>
      </c>
      <c r="E13" s="218">
        <v>35550218.69</v>
      </c>
      <c r="F13" s="218">
        <v>37047460.85</v>
      </c>
      <c r="G13" s="218">
        <v>28223617.78</v>
      </c>
      <c r="H13" s="218">
        <f>28729561.54</f>
        <v>28729561.54</v>
      </c>
      <c r="I13" s="218">
        <v>32200017.56</v>
      </c>
      <c r="J13" s="218">
        <f>33610767.09-42</f>
        <v>33610725.09</v>
      </c>
      <c r="K13" s="218">
        <v>30631470.01</v>
      </c>
      <c r="L13" s="218">
        <v>31763609.48</v>
      </c>
      <c r="M13" s="218">
        <v>36572740.24</v>
      </c>
      <c r="N13" s="218">
        <v>32869634.36</v>
      </c>
      <c r="O13" s="218">
        <v>31942863.58</v>
      </c>
      <c r="P13" s="694">
        <f t="shared" si="2"/>
        <v>389610528.3</v>
      </c>
      <c r="Q13" s="1139">
        <v>470662902</v>
      </c>
      <c r="R13" s="197"/>
      <c r="S13" s="197"/>
      <c r="T13" s="197"/>
      <c r="U13" s="707"/>
      <c r="V13" s="209"/>
      <c r="W13" s="700"/>
    </row>
    <row r="14" spans="1:22" s="135" customFormat="1" ht="15" customHeight="1">
      <c r="A14" s="1148" t="s">
        <v>219</v>
      </c>
      <c r="B14" s="201">
        <v>665932.47</v>
      </c>
      <c r="C14" s="201">
        <v>865344.59</v>
      </c>
      <c r="D14" s="218">
        <v>1066163.99</v>
      </c>
      <c r="E14" s="218">
        <v>1544999.79</v>
      </c>
      <c r="F14" s="218">
        <v>1018080.08</v>
      </c>
      <c r="G14" s="218">
        <v>1094075.72</v>
      </c>
      <c r="H14" s="218">
        <v>1492881.92</v>
      </c>
      <c r="I14" s="218">
        <v>1729821.48</v>
      </c>
      <c r="J14" s="218">
        <v>1572622.67</v>
      </c>
      <c r="K14" s="218">
        <v>1697073.57</v>
      </c>
      <c r="L14" s="218">
        <v>1413516.96</v>
      </c>
      <c r="M14" s="218">
        <v>1654060.08</v>
      </c>
      <c r="N14" s="218">
        <v>1669080.24</v>
      </c>
      <c r="O14" s="218">
        <v>1721446.12</v>
      </c>
      <c r="P14" s="694">
        <f t="shared" si="2"/>
        <v>17673822.62</v>
      </c>
      <c r="Q14" s="1140">
        <v>32496605</v>
      </c>
      <c r="R14" s="197"/>
      <c r="S14" s="197"/>
      <c r="T14" s="197"/>
      <c r="U14" s="707"/>
      <c r="V14" s="209"/>
    </row>
    <row r="15" spans="1:22" s="135" customFormat="1" ht="15" customHeight="1">
      <c r="A15" s="1148" t="s">
        <v>220</v>
      </c>
      <c r="B15" s="201">
        <v>1742328.89</v>
      </c>
      <c r="C15" s="201">
        <v>1555745.25</v>
      </c>
      <c r="D15" s="218">
        <v>2759414.04</v>
      </c>
      <c r="E15" s="218">
        <v>4211977.08</v>
      </c>
      <c r="F15" s="218">
        <v>5350209.79</v>
      </c>
      <c r="G15" s="218">
        <v>1706465.22</v>
      </c>
      <c r="H15" s="218">
        <v>2658573.06</v>
      </c>
      <c r="I15" s="218">
        <v>2850135.69</v>
      </c>
      <c r="J15" s="218">
        <v>3147544.71</v>
      </c>
      <c r="K15" s="218">
        <v>3141244.84</v>
      </c>
      <c r="L15" s="218">
        <v>3364660.22</v>
      </c>
      <c r="M15" s="218">
        <v>3278152.69</v>
      </c>
      <c r="N15" s="218">
        <v>3246160.8</v>
      </c>
      <c r="O15" s="218">
        <v>2977962.44</v>
      </c>
      <c r="P15" s="694">
        <f t="shared" si="2"/>
        <v>38692500.58</v>
      </c>
      <c r="Q15" s="1140">
        <v>53530588</v>
      </c>
      <c r="R15" s="197"/>
      <c r="S15" s="197"/>
      <c r="T15" s="197"/>
      <c r="U15" s="707"/>
      <c r="V15" s="209"/>
    </row>
    <row r="16" spans="1:22" s="340" customFormat="1" ht="15" customHeight="1">
      <c r="A16" s="1148" t="s">
        <v>221</v>
      </c>
      <c r="B16" s="218">
        <v>904914.33</v>
      </c>
      <c r="C16" s="218">
        <v>708059.38</v>
      </c>
      <c r="D16" s="717">
        <v>666015.66</v>
      </c>
      <c r="E16" s="717">
        <f>47048334.82-45732420.91</f>
        <v>1315913.9100000039</v>
      </c>
      <c r="F16" s="717">
        <f>44600270.53-44099934.02</f>
        <v>500336.5099999979</v>
      </c>
      <c r="G16" s="717">
        <f>32533587.17-31825691.01</f>
        <v>707896.1600000001</v>
      </c>
      <c r="H16" s="717">
        <f>37264205.85-33694812.37-42</f>
        <v>3569351.480000004</v>
      </c>
      <c r="I16" s="717">
        <f>46346136.65-44713906.85</f>
        <v>1632229.799999997</v>
      </c>
      <c r="J16" s="717">
        <f>52962624.27-52110473.18+42</f>
        <v>852193.0900000036</v>
      </c>
      <c r="K16" s="717">
        <f>38910288.99-37979290.96</f>
        <v>930998.0300000012</v>
      </c>
      <c r="L16" s="717">
        <f>39495173.21-38746511.42</f>
        <v>748661.7899999991</v>
      </c>
      <c r="M16" s="717">
        <f>44930876.94-43860422.47</f>
        <v>1070454.4699999988</v>
      </c>
      <c r="N16" s="717">
        <f>40211850.85-39532729.64</f>
        <v>679121.2100000009</v>
      </c>
      <c r="O16" s="717">
        <f>39551731.55-38846878.27</f>
        <v>704853.2799999937</v>
      </c>
      <c r="P16" s="694">
        <f t="shared" si="2"/>
        <v>13378025.39</v>
      </c>
      <c r="Q16" s="1139">
        <f>689832515-672749397</f>
        <v>17083118</v>
      </c>
      <c r="R16" s="452"/>
      <c r="S16" s="197"/>
      <c r="T16" s="452"/>
      <c r="U16" s="707"/>
      <c r="V16" s="276"/>
    </row>
    <row r="17" spans="1:21" s="833" customFormat="1" ht="15" customHeight="1">
      <c r="A17" s="1147" t="s">
        <v>222</v>
      </c>
      <c r="B17" s="854">
        <v>5577502.2</v>
      </c>
      <c r="C17" s="854">
        <v>5595518.79</v>
      </c>
      <c r="D17" s="378">
        <v>20485266.28</v>
      </c>
      <c r="E17" s="378">
        <v>13148886.55</v>
      </c>
      <c r="F17" s="378">
        <f>9889986.71-3768394.84</f>
        <v>6121591.870000001</v>
      </c>
      <c r="G17" s="378">
        <v>6701842.92</v>
      </c>
      <c r="H17" s="378">
        <f>7953908.39-2446887.98</f>
        <v>5507020.41</v>
      </c>
      <c r="I17" s="378">
        <v>8651495.97</v>
      </c>
      <c r="J17" s="378">
        <f>8332999.1-1669282.6</f>
        <v>6663716.5</v>
      </c>
      <c r="K17" s="378">
        <v>8646428.34</v>
      </c>
      <c r="L17" s="378">
        <f>9523231.41-2201642.92</f>
        <v>7321588.49</v>
      </c>
      <c r="M17" s="378">
        <v>10440119.09</v>
      </c>
      <c r="N17" s="378">
        <f>2961074.15-2397720.34</f>
        <v>563353.81</v>
      </c>
      <c r="O17" s="378">
        <v>5250528</v>
      </c>
      <c r="P17" s="694">
        <f t="shared" si="2"/>
        <v>99501838.23</v>
      </c>
      <c r="Q17" s="1141">
        <v>125947957</v>
      </c>
      <c r="R17" s="576"/>
      <c r="S17" s="576"/>
      <c r="T17" s="856"/>
      <c r="U17" s="254"/>
    </row>
    <row r="18" spans="1:21" s="833" customFormat="1" ht="15" customHeight="1">
      <c r="A18" s="1147" t="s">
        <v>223</v>
      </c>
      <c r="B18" s="854">
        <v>1200062.19</v>
      </c>
      <c r="C18" s="854">
        <v>1489572.4</v>
      </c>
      <c r="D18" s="378">
        <v>3335701.7</v>
      </c>
      <c r="E18" s="378">
        <v>2524928.35</v>
      </c>
      <c r="F18" s="378">
        <v>2805408.27</v>
      </c>
      <c r="G18" s="378">
        <v>2818596.32</v>
      </c>
      <c r="H18" s="378">
        <v>1943464.09</v>
      </c>
      <c r="I18" s="378">
        <v>3415817.29</v>
      </c>
      <c r="J18" s="378">
        <v>2252290.47</v>
      </c>
      <c r="K18" s="378">
        <v>972534.52</v>
      </c>
      <c r="L18" s="378">
        <v>2917419.95</v>
      </c>
      <c r="M18" s="378">
        <v>2004483.28</v>
      </c>
      <c r="N18" s="378">
        <f>529328.17-89.63</f>
        <v>529238.54</v>
      </c>
      <c r="O18" s="378">
        <v>3665189.61</v>
      </c>
      <c r="P18" s="694">
        <f t="shared" si="2"/>
        <v>29185072.389999997</v>
      </c>
      <c r="Q18" s="1141">
        <v>21783759</v>
      </c>
      <c r="R18" s="791"/>
      <c r="S18" s="1059"/>
      <c r="T18" s="856"/>
      <c r="U18" s="254"/>
    </row>
    <row r="19" spans="1:21" s="833" customFormat="1" ht="15" customHeight="1">
      <c r="A19" s="1149" t="s">
        <v>34</v>
      </c>
      <c r="B19" s="854">
        <v>6667.71</v>
      </c>
      <c r="C19" s="854">
        <v>8520.57</v>
      </c>
      <c r="D19" s="378">
        <v>15932.91</v>
      </c>
      <c r="E19" s="378">
        <v>13355.66</v>
      </c>
      <c r="F19" s="378">
        <v>8828.05</v>
      </c>
      <c r="G19" s="378">
        <v>7634.41</v>
      </c>
      <c r="H19" s="378">
        <v>9655.56</v>
      </c>
      <c r="I19" s="378">
        <v>34716.15</v>
      </c>
      <c r="J19" s="378">
        <v>17061.4</v>
      </c>
      <c r="K19" s="378">
        <v>17115.84</v>
      </c>
      <c r="L19" s="378">
        <v>24542.19</v>
      </c>
      <c r="M19" s="378">
        <v>12390.19</v>
      </c>
      <c r="N19" s="378">
        <v>6826.89</v>
      </c>
      <c r="O19" s="378">
        <v>3406.32</v>
      </c>
      <c r="P19" s="694">
        <f t="shared" si="2"/>
        <v>171465.57</v>
      </c>
      <c r="Q19" s="1142">
        <v>227179</v>
      </c>
      <c r="R19" s="576"/>
      <c r="S19" s="576"/>
      <c r="T19" s="856"/>
      <c r="U19" s="254"/>
    </row>
    <row r="20" spans="1:30" s="200" customFormat="1" ht="15" customHeight="1">
      <c r="A20" s="1149" t="s">
        <v>224</v>
      </c>
      <c r="B20" s="854">
        <f>SUM(B21:B28)</f>
        <v>85102073.65</v>
      </c>
      <c r="C20" s="854">
        <f>SUM(C21:C28)</f>
        <v>94872944.72</v>
      </c>
      <c r="D20" s="378">
        <f aca="true" t="shared" si="3" ref="D20:O20">SUM(D21:D28)</f>
        <v>104310102.65</v>
      </c>
      <c r="E20" s="378">
        <f t="shared" si="3"/>
        <v>186356063.39999998</v>
      </c>
      <c r="F20" s="378">
        <f t="shared" si="3"/>
        <v>106752357.46000001</v>
      </c>
      <c r="G20" s="378">
        <f t="shared" si="3"/>
        <v>110077063.62</v>
      </c>
      <c r="H20" s="378">
        <f t="shared" si="3"/>
        <v>106823952.82</v>
      </c>
      <c r="I20" s="378">
        <f t="shared" si="3"/>
        <v>118903907.27</v>
      </c>
      <c r="J20" s="378">
        <f t="shared" si="3"/>
        <v>118368868.71</v>
      </c>
      <c r="K20" s="378">
        <f t="shared" si="3"/>
        <v>99739911.38</v>
      </c>
      <c r="L20" s="378">
        <f t="shared" si="3"/>
        <v>102144183.76</v>
      </c>
      <c r="M20" s="378">
        <f t="shared" si="3"/>
        <v>97079206.04</v>
      </c>
      <c r="N20" s="378">
        <f t="shared" si="3"/>
        <v>99044578.95</v>
      </c>
      <c r="O20" s="378">
        <f t="shared" si="3"/>
        <v>98031605.36</v>
      </c>
      <c r="P20" s="378">
        <f>SUM(P21:P28)</f>
        <v>1347631801.42</v>
      </c>
      <c r="Q20" s="1141">
        <f>SUM(Q21:Q28)</f>
        <v>1668698116.49</v>
      </c>
      <c r="R20" s="576"/>
      <c r="S20" s="576"/>
      <c r="T20" s="856"/>
      <c r="U20" s="857"/>
      <c r="V20" s="833"/>
      <c r="W20" s="833"/>
      <c r="X20" s="833"/>
      <c r="Y20" s="833"/>
      <c r="Z20" s="833"/>
      <c r="AA20" s="833"/>
      <c r="AB20" s="833"/>
      <c r="AC20" s="833"/>
      <c r="AD20" s="833"/>
    </row>
    <row r="21" spans="1:21" s="135" customFormat="1" ht="15" customHeight="1">
      <c r="A21" s="1150" t="s">
        <v>225</v>
      </c>
      <c r="B21" s="201">
        <v>23837662.26</v>
      </c>
      <c r="C21" s="201">
        <v>20568609.89</v>
      </c>
      <c r="D21" s="218">
        <v>27984763.56</v>
      </c>
      <c r="E21" s="218">
        <v>47060905.82</v>
      </c>
      <c r="F21" s="218">
        <v>29839709.94</v>
      </c>
      <c r="G21" s="218">
        <v>36095662.24</v>
      </c>
      <c r="H21" s="218">
        <v>24514719.08</v>
      </c>
      <c r="I21" s="218">
        <v>30896586.53</v>
      </c>
      <c r="J21" s="218">
        <v>34555645.89</v>
      </c>
      <c r="K21" s="218">
        <v>29488023.43</v>
      </c>
      <c r="L21" s="218">
        <v>22020670.07</v>
      </c>
      <c r="M21" s="218">
        <v>24299347.32</v>
      </c>
      <c r="N21" s="218">
        <v>21261572.02</v>
      </c>
      <c r="O21" s="218">
        <v>22570118.37</v>
      </c>
      <c r="P21" s="694">
        <f aca="true" t="shared" si="4" ref="P21:P29">SUM(D21:O21)</f>
        <v>350587724.27</v>
      </c>
      <c r="Q21" s="1143">
        <v>509780102</v>
      </c>
      <c r="R21" s="197"/>
      <c r="S21" s="845"/>
      <c r="T21" s="701"/>
      <c r="U21" s="354"/>
    </row>
    <row r="22" spans="1:21" s="135" customFormat="1" ht="15" customHeight="1">
      <c r="A22" s="1150" t="s">
        <v>226</v>
      </c>
      <c r="B22" s="201">
        <v>18440365.8</v>
      </c>
      <c r="C22" s="201">
        <v>19955818.11</v>
      </c>
      <c r="D22" s="218">
        <v>30340389.08</v>
      </c>
      <c r="E22" s="218">
        <v>32067007.54</v>
      </c>
      <c r="F22" s="218">
        <v>31686846.49</v>
      </c>
      <c r="G22" s="218">
        <v>28184761.38</v>
      </c>
      <c r="H22" s="218">
        <v>29288662.77</v>
      </c>
      <c r="I22" s="218">
        <v>28069462.96</v>
      </c>
      <c r="J22" s="218">
        <v>27949227.38</v>
      </c>
      <c r="K22" s="218">
        <v>29041859.04</v>
      </c>
      <c r="L22" s="218">
        <v>32483966.83</v>
      </c>
      <c r="M22" s="218">
        <v>29290576.62</v>
      </c>
      <c r="N22" s="218">
        <v>33656855.34</v>
      </c>
      <c r="O22" s="218">
        <v>31108850.55</v>
      </c>
      <c r="P22" s="694">
        <f t="shared" si="4"/>
        <v>363168465.97999996</v>
      </c>
      <c r="Q22" s="1139">
        <v>498791966</v>
      </c>
      <c r="R22" s="197"/>
      <c r="S22" s="197"/>
      <c r="T22" s="197"/>
      <c r="U22" s="464"/>
    </row>
    <row r="23" spans="1:22" s="135" customFormat="1" ht="15" customHeight="1">
      <c r="A23" s="1150" t="s">
        <v>227</v>
      </c>
      <c r="B23" s="201">
        <v>4478497.12</v>
      </c>
      <c r="C23" s="201">
        <v>4714661.46</v>
      </c>
      <c r="D23" s="218">
        <v>1015566.73</v>
      </c>
      <c r="E23" s="218">
        <v>913706.29</v>
      </c>
      <c r="F23" s="218">
        <v>1756402</v>
      </c>
      <c r="G23" s="218">
        <v>7443701.34</v>
      </c>
      <c r="H23" s="218">
        <v>13814083.98</v>
      </c>
      <c r="I23" s="218">
        <v>12457344.54</v>
      </c>
      <c r="J23" s="218">
        <v>6852408.64</v>
      </c>
      <c r="K23" s="218">
        <v>4843506.85</v>
      </c>
      <c r="L23" s="218">
        <v>4560690.86</v>
      </c>
      <c r="M23" s="218">
        <v>2431777.43</v>
      </c>
      <c r="N23" s="218">
        <v>2082797.64</v>
      </c>
      <c r="O23" s="218">
        <v>1782268.43</v>
      </c>
      <c r="P23" s="694">
        <f t="shared" si="4"/>
        <v>59954254.73</v>
      </c>
      <c r="Q23" s="1139">
        <v>62931863</v>
      </c>
      <c r="R23" s="197"/>
      <c r="S23" s="197"/>
      <c r="T23" s="197"/>
      <c r="U23" s="464"/>
      <c r="V23" s="700"/>
    </row>
    <row r="24" spans="1:21" s="135" customFormat="1" ht="15" customHeight="1">
      <c r="A24" s="1150" t="s">
        <v>228</v>
      </c>
      <c r="B24" s="201">
        <v>150.79</v>
      </c>
      <c r="C24" s="201">
        <v>251.89</v>
      </c>
      <c r="D24" s="218">
        <v>715.13</v>
      </c>
      <c r="E24" s="218">
        <v>123.27</v>
      </c>
      <c r="F24" s="218">
        <v>304.92</v>
      </c>
      <c r="G24" s="218">
        <v>3963.84</v>
      </c>
      <c r="H24" s="218">
        <v>2520.08</v>
      </c>
      <c r="I24" s="218">
        <v>114.43</v>
      </c>
      <c r="J24" s="218">
        <v>0</v>
      </c>
      <c r="K24" s="218">
        <v>1228.4</v>
      </c>
      <c r="L24" s="218">
        <v>449.66</v>
      </c>
      <c r="M24" s="218">
        <v>1204.47</v>
      </c>
      <c r="N24" s="218">
        <v>583.45</v>
      </c>
      <c r="O24" s="218">
        <v>3771.52</v>
      </c>
      <c r="P24" s="694">
        <f t="shared" si="4"/>
        <v>14979.17</v>
      </c>
      <c r="Q24" s="1139">
        <v>5939</v>
      </c>
      <c r="R24" s="197"/>
      <c r="S24" s="197"/>
      <c r="T24" s="197"/>
      <c r="U24" s="464"/>
    </row>
    <row r="25" spans="1:21" s="135" customFormat="1" ht="15" customHeight="1">
      <c r="A25" s="1150" t="s">
        <v>229</v>
      </c>
      <c r="B25" s="201">
        <v>290965.38</v>
      </c>
      <c r="C25" s="201">
        <f>B25</f>
        <v>290965.38</v>
      </c>
      <c r="D25" s="218">
        <v>282823.19</v>
      </c>
      <c r="E25" s="218">
        <v>282823.19</v>
      </c>
      <c r="F25" s="218">
        <v>277261.63</v>
      </c>
      <c r="G25" s="218">
        <v>277261.63</v>
      </c>
      <c r="H25" s="218">
        <v>277261.63</v>
      </c>
      <c r="I25" s="218">
        <v>277261.63</v>
      </c>
      <c r="J25" s="218">
        <v>277261.63</v>
      </c>
      <c r="K25" s="218">
        <v>277261.63</v>
      </c>
      <c r="L25" s="218">
        <v>277261.63</v>
      </c>
      <c r="M25" s="218">
        <v>277261.63</v>
      </c>
      <c r="N25" s="218">
        <v>0</v>
      </c>
      <c r="O25" s="218">
        <v>554523.26</v>
      </c>
      <c r="P25" s="694">
        <f t="shared" si="4"/>
        <v>3338262.6799999997</v>
      </c>
      <c r="Q25" s="1139">
        <v>3556784</v>
      </c>
      <c r="R25" s="197"/>
      <c r="S25" s="845"/>
      <c r="T25" s="197"/>
      <c r="U25" s="464"/>
    </row>
    <row r="26" spans="1:21" s="135" customFormat="1" ht="15" customHeight="1">
      <c r="A26" s="1150" t="s">
        <v>230</v>
      </c>
      <c r="B26" s="201"/>
      <c r="C26" s="201"/>
      <c r="D26" s="218">
        <v>0</v>
      </c>
      <c r="E26" s="218">
        <v>0</v>
      </c>
      <c r="F26" s="218">
        <v>0</v>
      </c>
      <c r="G26" s="218">
        <v>0</v>
      </c>
      <c r="H26" s="218">
        <v>0</v>
      </c>
      <c r="I26" s="218"/>
      <c r="J26" s="218"/>
      <c r="K26" s="218"/>
      <c r="L26" s="218"/>
      <c r="M26" s="218"/>
      <c r="N26" s="218"/>
      <c r="O26" s="218"/>
      <c r="P26" s="694">
        <f t="shared" si="4"/>
        <v>0</v>
      </c>
      <c r="Q26" s="1139">
        <v>0</v>
      </c>
      <c r="R26" s="197"/>
      <c r="S26" s="197"/>
      <c r="T26" s="197"/>
      <c r="U26" s="464"/>
    </row>
    <row r="27" spans="1:21" s="135" customFormat="1" ht="15" customHeight="1">
      <c r="A27" s="1150" t="s">
        <v>231</v>
      </c>
      <c r="B27" s="201">
        <v>16163396.33</v>
      </c>
      <c r="C27" s="201">
        <v>23889755.74</v>
      </c>
      <c r="D27" s="654">
        <v>16434335.56</v>
      </c>
      <c r="E27" s="354">
        <v>24840523.22</v>
      </c>
      <c r="F27" s="654">
        <v>29519899.57</v>
      </c>
      <c r="G27" s="354">
        <v>10527625.04</v>
      </c>
      <c r="H27" s="654">
        <v>15062895.32</v>
      </c>
      <c r="I27" s="354">
        <v>23937769.78</v>
      </c>
      <c r="J27" s="654">
        <v>23360534.4</v>
      </c>
      <c r="K27" s="354">
        <v>9180177.96</v>
      </c>
      <c r="L27" s="654">
        <v>7951913.9</v>
      </c>
      <c r="M27" s="354">
        <v>8030246.59</v>
      </c>
      <c r="N27" s="654">
        <f>15968317.39+13140519.5</f>
        <v>29108836.89</v>
      </c>
      <c r="O27" s="354">
        <v>16048366.74</v>
      </c>
      <c r="P27" s="694">
        <f t="shared" si="4"/>
        <v>214003124.97000003</v>
      </c>
      <c r="Q27" s="1139">
        <v>238097943.87</v>
      </c>
      <c r="R27" s="197"/>
      <c r="S27" s="197"/>
      <c r="T27" s="197"/>
      <c r="U27" s="464"/>
    </row>
    <row r="28" spans="1:21" s="135" customFormat="1" ht="15" customHeight="1">
      <c r="A28" s="1150" t="s">
        <v>232</v>
      </c>
      <c r="B28" s="201">
        <v>21891035.97</v>
      </c>
      <c r="C28" s="201">
        <v>25452882.25</v>
      </c>
      <c r="D28" s="655">
        <f>104310102.65-76058593.25</f>
        <v>28251509.400000006</v>
      </c>
      <c r="E28" s="592">
        <v>81190974.07</v>
      </c>
      <c r="F28" s="655">
        <f>103854858.13-93080424.55+2897499.33</f>
        <v>13671932.909999998</v>
      </c>
      <c r="G28" s="592">
        <f>110077063.62-82532975.47</f>
        <v>27544088.150000006</v>
      </c>
      <c r="H28" s="655">
        <f>109721452.15-82960142.86-2897499.33</f>
        <v>23863809.96000001</v>
      </c>
      <c r="I28" s="592">
        <f>118903907.27-95638539.87</f>
        <v>23265367.39999999</v>
      </c>
      <c r="J28" s="655">
        <f>118368868.71-92995077.94</f>
        <v>25373790.769999996</v>
      </c>
      <c r="K28" s="592">
        <f>99739911.38-72832057.31</f>
        <v>26907854.069999993</v>
      </c>
      <c r="L28" s="655">
        <f>102144183.76-67294952.95</f>
        <v>34849230.81</v>
      </c>
      <c r="M28" s="592">
        <f>97079206.04-64330414.06</f>
        <v>32748791.980000004</v>
      </c>
      <c r="N28" s="655">
        <f>99045578.95-86110645.34-1000</f>
        <v>12933933.61</v>
      </c>
      <c r="O28" s="592">
        <f>98031605.36-72067898.87</f>
        <v>25963706.489999995</v>
      </c>
      <c r="P28" s="694">
        <f t="shared" si="4"/>
        <v>356564989.62</v>
      </c>
      <c r="Q28" s="1139">
        <f>1668698116.49-1313164597.87</f>
        <v>355533518.6200001</v>
      </c>
      <c r="R28" s="197"/>
      <c r="S28" s="197"/>
      <c r="T28" s="197"/>
      <c r="U28" s="464"/>
    </row>
    <row r="29" spans="1:21" s="833" customFormat="1" ht="15" customHeight="1">
      <c r="A29" s="1149" t="s">
        <v>233</v>
      </c>
      <c r="B29" s="854">
        <v>1871151.09</v>
      </c>
      <c r="C29" s="854">
        <v>1782072.97</v>
      </c>
      <c r="D29" s="1060">
        <v>1627187.43</v>
      </c>
      <c r="E29" s="254">
        <v>34203422.42</v>
      </c>
      <c r="F29" s="1060">
        <v>4330907.44</v>
      </c>
      <c r="G29" s="254">
        <v>3347370.78</v>
      </c>
      <c r="H29" s="1060">
        <v>3088197.93</v>
      </c>
      <c r="I29" s="254">
        <v>3534488.94</v>
      </c>
      <c r="J29" s="1060">
        <f>3792094.52+2076.93</f>
        <v>3794171.45</v>
      </c>
      <c r="K29" s="254">
        <v>4221273.44</v>
      </c>
      <c r="L29" s="1060">
        <f>5433654.45+5904.31</f>
        <v>5439558.76</v>
      </c>
      <c r="M29" s="254">
        <v>4442988.82</v>
      </c>
      <c r="N29" s="1060">
        <v>2936697.38</v>
      </c>
      <c r="O29" s="254">
        <v>3182095.69</v>
      </c>
      <c r="P29" s="694">
        <f t="shared" si="4"/>
        <v>74148360.47999999</v>
      </c>
      <c r="Q29" s="1141">
        <v>55087637</v>
      </c>
      <c r="R29" s="1061"/>
      <c r="S29" s="576"/>
      <c r="T29" s="576"/>
      <c r="U29" s="857"/>
    </row>
    <row r="30" spans="1:21" s="200" customFormat="1" ht="15" customHeight="1">
      <c r="A30" s="1151" t="s">
        <v>234</v>
      </c>
      <c r="B30" s="553">
        <f>B31+B33+B32</f>
        <v>12149540.29</v>
      </c>
      <c r="C30" s="553">
        <f>C31+C33+C32</f>
        <v>11808330.88</v>
      </c>
      <c r="D30" s="361">
        <f aca="true" t="shared" si="5" ref="D30:O30">D31+D32+D33</f>
        <v>28235050.9</v>
      </c>
      <c r="E30" s="361">
        <f t="shared" si="5"/>
        <v>21016491.21</v>
      </c>
      <c r="F30" s="361">
        <f t="shared" si="5"/>
        <v>9277538.499999998</v>
      </c>
      <c r="G30" s="361">
        <f t="shared" si="5"/>
        <v>17238821.05</v>
      </c>
      <c r="H30" s="361">
        <f t="shared" si="5"/>
        <v>18386056.130000003</v>
      </c>
      <c r="I30" s="361">
        <f t="shared" si="5"/>
        <v>18585150.32</v>
      </c>
      <c r="J30" s="361">
        <f t="shared" si="5"/>
        <v>18594253.490000002</v>
      </c>
      <c r="K30" s="361">
        <f t="shared" si="5"/>
        <v>17144260.919999998</v>
      </c>
      <c r="L30" s="361">
        <f t="shared" si="5"/>
        <v>14426979.73</v>
      </c>
      <c r="M30" s="361">
        <f t="shared" si="5"/>
        <v>16339034.66</v>
      </c>
      <c r="N30" s="361">
        <f t="shared" si="5"/>
        <v>6973766.16</v>
      </c>
      <c r="O30" s="361">
        <f t="shared" si="5"/>
        <v>11914198.129999999</v>
      </c>
      <c r="P30" s="361">
        <f>P31+P32+P33</f>
        <v>198131601.2</v>
      </c>
      <c r="Q30" s="1141">
        <f>Q31+Q32+Q33</f>
        <v>284888280</v>
      </c>
      <c r="R30" s="197"/>
      <c r="S30" s="197"/>
      <c r="T30" s="197"/>
      <c r="U30" s="464"/>
    </row>
    <row r="31" spans="1:21" s="135" customFormat="1" ht="15" customHeight="1">
      <c r="A31" s="1152" t="s">
        <v>235</v>
      </c>
      <c r="B31" s="202">
        <v>2683864.55</v>
      </c>
      <c r="C31" s="202">
        <v>2631769.92</v>
      </c>
      <c r="D31" s="694">
        <v>16311031.99</v>
      </c>
      <c r="E31" s="694">
        <v>7237298.92</v>
      </c>
      <c r="F31" s="694">
        <f>5141474.02+3677922.95</f>
        <v>8819396.969999999</v>
      </c>
      <c r="G31" s="694">
        <v>2725338.78</v>
      </c>
      <c r="H31" s="694">
        <f>3745860.84-11259895.59</f>
        <v>-7514034.75</v>
      </c>
      <c r="I31" s="694">
        <v>3996638.95</v>
      </c>
      <c r="J31" s="694">
        <f>4130664.61-317964.58</f>
        <v>3812700.03</v>
      </c>
      <c r="K31" s="694">
        <v>4086117.4</v>
      </c>
      <c r="L31" s="694">
        <f>4678138.33-2198254.94</f>
        <v>2479883.39</v>
      </c>
      <c r="M31" s="694">
        <v>5005262.02</v>
      </c>
      <c r="N31" s="694">
        <f>-2115431.76-2385736.52</f>
        <v>-4501168.279999999</v>
      </c>
      <c r="O31" s="694">
        <v>600307.1</v>
      </c>
      <c r="P31" s="694">
        <f>SUM(D31:O31)</f>
        <v>43058772.51999999</v>
      </c>
      <c r="Q31" s="1139">
        <v>69085622</v>
      </c>
      <c r="R31" s="197"/>
      <c r="S31" s="197"/>
      <c r="T31" s="197"/>
      <c r="U31" s="464"/>
    </row>
    <row r="32" spans="1:21" s="135" customFormat="1" ht="15" customHeight="1">
      <c r="A32" s="1152" t="s">
        <v>236</v>
      </c>
      <c r="B32" s="201">
        <v>14996.57</v>
      </c>
      <c r="C32" s="201">
        <v>14996.57</v>
      </c>
      <c r="D32" s="694">
        <v>0</v>
      </c>
      <c r="E32" s="694">
        <v>0</v>
      </c>
      <c r="F32" s="694">
        <v>0</v>
      </c>
      <c r="G32" s="694">
        <v>0</v>
      </c>
      <c r="H32" s="694">
        <v>0</v>
      </c>
      <c r="I32" s="694">
        <v>0</v>
      </c>
      <c r="J32" s="694"/>
      <c r="K32" s="694"/>
      <c r="L32" s="694"/>
      <c r="M32" s="694"/>
      <c r="N32" s="694"/>
      <c r="O32" s="694"/>
      <c r="P32" s="694">
        <f>SUM(D32:O32)</f>
        <v>0</v>
      </c>
      <c r="Q32" s="1139">
        <v>0</v>
      </c>
      <c r="R32" s="197"/>
      <c r="S32" s="197"/>
      <c r="T32" s="197"/>
      <c r="U32" s="464"/>
    </row>
    <row r="33" spans="1:21" s="135" customFormat="1" ht="15" customHeight="1">
      <c r="A33" s="1152" t="s">
        <v>237</v>
      </c>
      <c r="B33" s="201">
        <v>9450679.17</v>
      </c>
      <c r="C33" s="201">
        <v>9161564.39</v>
      </c>
      <c r="D33" s="694">
        <v>11924018.91</v>
      </c>
      <c r="E33" s="694">
        <v>13779192.29</v>
      </c>
      <c r="F33" s="694">
        <f>12712104.94-12253963.41</f>
        <v>458141.52999999933</v>
      </c>
      <c r="G33" s="694">
        <v>14513482.27</v>
      </c>
      <c r="H33" s="694">
        <f>13646127.47+12253963.41</f>
        <v>25900090.880000003</v>
      </c>
      <c r="I33" s="694">
        <v>14588511.37</v>
      </c>
      <c r="J33" s="694">
        <v>14781553.46</v>
      </c>
      <c r="K33" s="694">
        <v>13058143.52</v>
      </c>
      <c r="L33" s="694">
        <v>11947096.34</v>
      </c>
      <c r="M33" s="694">
        <v>11333772.64</v>
      </c>
      <c r="N33" s="694">
        <v>11474934.44</v>
      </c>
      <c r="O33" s="694">
        <v>11313891.03</v>
      </c>
      <c r="P33" s="694">
        <f>SUM(D33:O33)</f>
        <v>155072828.68</v>
      </c>
      <c r="Q33" s="1144">
        <v>215802658</v>
      </c>
      <c r="R33" s="197"/>
      <c r="S33" s="197"/>
      <c r="T33" s="197"/>
      <c r="U33" s="464"/>
    </row>
    <row r="34" spans="1:21" s="135" customFormat="1" ht="15" customHeight="1">
      <c r="A34" s="1153" t="s">
        <v>238</v>
      </c>
      <c r="B34" s="204">
        <f>B10-B30</f>
        <v>115724153.72</v>
      </c>
      <c r="C34" s="204">
        <f>C10-C30</f>
        <v>118192070.28999999</v>
      </c>
      <c r="D34" s="204">
        <f aca="true" t="shared" si="6" ref="D34:O34">D10-D30</f>
        <v>139300384.16</v>
      </c>
      <c r="E34" s="204">
        <f t="shared" si="6"/>
        <v>262278499.98999998</v>
      </c>
      <c r="F34" s="204">
        <f t="shared" si="6"/>
        <v>155341825.12</v>
      </c>
      <c r="G34" s="204">
        <f t="shared" si="6"/>
        <v>138247274.17</v>
      </c>
      <c r="H34" s="204">
        <f t="shared" si="6"/>
        <v>136250398.53000003</v>
      </c>
      <c r="I34" s="204">
        <f t="shared" si="6"/>
        <v>162301411.95</v>
      </c>
      <c r="J34" s="204">
        <f t="shared" si="6"/>
        <v>165465570.69</v>
      </c>
      <c r="K34" s="204">
        <f t="shared" si="6"/>
        <v>135363291.59</v>
      </c>
      <c r="L34" s="204">
        <f t="shared" si="6"/>
        <v>142915486.63000003</v>
      </c>
      <c r="M34" s="204">
        <f t="shared" si="6"/>
        <v>142571029.70000002</v>
      </c>
      <c r="N34" s="204">
        <f t="shared" si="6"/>
        <v>136318780.26000002</v>
      </c>
      <c r="O34" s="204">
        <f t="shared" si="6"/>
        <v>137770358.39999998</v>
      </c>
      <c r="P34" s="695">
        <f>P10-P30</f>
        <v>1854124311.19</v>
      </c>
      <c r="Q34" s="1145">
        <f>Q10-Q30</f>
        <v>2276688883.49</v>
      </c>
      <c r="R34" s="197"/>
      <c r="S34" s="197"/>
      <c r="T34" s="197"/>
      <c r="U34" s="464"/>
    </row>
    <row r="35" spans="1:21" ht="12.75" customHeight="1">
      <c r="A35" s="205" t="str">
        <f>'Anexo I_BAL ORC'!A96</f>
        <v>FONTE: SECRETARIA MUNICIPAL DA FAZENDA</v>
      </c>
      <c r="B35" s="206"/>
      <c r="C35" s="554"/>
      <c r="N35" s="700"/>
      <c r="O35" s="700"/>
      <c r="Q35" s="197"/>
      <c r="R35" s="203"/>
      <c r="S35" s="197"/>
      <c r="T35" s="203"/>
      <c r="U35" s="135"/>
    </row>
    <row r="36" spans="1:20" s="135" customFormat="1" ht="18" customHeight="1">
      <c r="A36" s="126" t="str">
        <f>'Anexo I_BAL ORC'!A101</f>
        <v>  São Luís, 26 de Novembro de 2012</v>
      </c>
      <c r="B36" s="126"/>
      <c r="C36" s="126"/>
      <c r="H36" s="700"/>
      <c r="I36" s="700"/>
      <c r="J36" s="700"/>
      <c r="K36" s="700"/>
      <c r="L36" s="700"/>
      <c r="M36" s="700"/>
      <c r="N36" s="700"/>
      <c r="O36" s="700"/>
      <c r="P36" s="696"/>
      <c r="Q36" s="197"/>
      <c r="R36" s="197"/>
      <c r="S36" s="197"/>
      <c r="T36" s="197"/>
    </row>
    <row r="37" spans="1:20" s="135" customFormat="1" ht="15" customHeight="1">
      <c r="A37" s="207"/>
      <c r="B37" s="183"/>
      <c r="C37" s="183"/>
      <c r="H37" s="700"/>
      <c r="P37" s="696"/>
      <c r="Q37" s="197"/>
      <c r="R37" s="464"/>
      <c r="S37" s="464"/>
      <c r="T37" s="464"/>
    </row>
    <row r="38" spans="1:17" s="135" customFormat="1" ht="15" customHeight="1">
      <c r="A38" s="208"/>
      <c r="B38" s="209"/>
      <c r="P38" s="696"/>
      <c r="Q38" s="197"/>
    </row>
    <row r="39" spans="1:19" s="135" customFormat="1" ht="15" customHeight="1">
      <c r="A39" s="208"/>
      <c r="B39" s="209"/>
      <c r="P39" s="696"/>
      <c r="R39" s="700"/>
      <c r="S39" s="700"/>
    </row>
    <row r="40" spans="10:16" ht="15" customHeight="1">
      <c r="J40" s="1073"/>
      <c r="P40" s="899"/>
    </row>
    <row r="41" ht="15" customHeight="1">
      <c r="J41" s="1073"/>
    </row>
    <row r="42" ht="15" customHeight="1">
      <c r="J42" s="1073"/>
    </row>
    <row r="48" spans="4:15" ht="15" customHeight="1"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</row>
    <row r="49" spans="4:15" ht="15" customHeight="1"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</row>
    <row r="50" spans="4:15" ht="15" customHeight="1"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</row>
    <row r="51" spans="4:15" ht="15" customHeight="1"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</row>
    <row r="52" spans="4:15" ht="15" customHeight="1"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</row>
    <row r="76" spans="1:3" ht="15" customHeight="1">
      <c r="A76" s="208"/>
      <c r="B76" s="209"/>
      <c r="C76" s="135"/>
    </row>
    <row r="77" spans="1:3" ht="15" customHeight="1">
      <c r="A77" s="208"/>
      <c r="B77" s="209"/>
      <c r="C77" s="135"/>
    </row>
    <row r="78" spans="1:3" ht="15" customHeight="1">
      <c r="A78" s="208"/>
      <c r="B78" s="209"/>
      <c r="C78" s="135"/>
    </row>
    <row r="79" spans="1:3" ht="15" customHeight="1">
      <c r="A79" s="208"/>
      <c r="B79" s="209"/>
      <c r="C79" s="135"/>
    </row>
    <row r="80" spans="1:3" ht="15" customHeight="1">
      <c r="A80" s="208"/>
      <c r="B80" s="209"/>
      <c r="C80" s="135"/>
    </row>
  </sheetData>
  <sheetProtection/>
  <mergeCells count="20">
    <mergeCell ref="A1:Q1"/>
    <mergeCell ref="A2:Q2"/>
    <mergeCell ref="A3:Q3"/>
    <mergeCell ref="A4:Q4"/>
    <mergeCell ref="A8:A9"/>
    <mergeCell ref="B8:C8"/>
    <mergeCell ref="P8:P9"/>
    <mergeCell ref="Q8:Q9"/>
    <mergeCell ref="J8:J9"/>
    <mergeCell ref="K8:K9"/>
    <mergeCell ref="N8:N9"/>
    <mergeCell ref="O8:O9"/>
    <mergeCell ref="L8:L9"/>
    <mergeCell ref="M8:M9"/>
    <mergeCell ref="D8:D9"/>
    <mergeCell ref="E8:E9"/>
    <mergeCell ref="H8:H9"/>
    <mergeCell ref="I8:I9"/>
    <mergeCell ref="F8:F9"/>
    <mergeCell ref="G8:G9"/>
  </mergeCells>
  <printOptions horizontalCentered="1"/>
  <pageMargins left="0.2362204724409449" right="0.15748031496062992" top="0.5118110236220472" bottom="0.3937007874015748" header="0.5118110236220472" footer="0.1968503937007874"/>
  <pageSetup fitToHeight="1" fitToWidth="1" horizontalDpi="300" verticalDpi="300" orientation="landscape" paperSize="9" scale="58" r:id="rId2"/>
  <headerFooter alignWithMargins="0">
    <oddFooter>&amp;C&amp;A</oddFooter>
  </headerFooter>
  <ignoredErrors>
    <ignoredError sqref="P20 P30" formula="1"/>
    <ignoredError sqref="P14:P15 P18:P19 P21:P24 P27 P32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K139"/>
  <sheetViews>
    <sheetView showGridLines="0" zoomScaleSheetLayoutView="100" workbookViewId="0" topLeftCell="A124">
      <selection activeCell="C139" sqref="C139"/>
    </sheetView>
  </sheetViews>
  <sheetFormatPr defaultColWidth="4.140625" defaultRowHeight="12.75"/>
  <cols>
    <col min="1" max="1" width="45.140625" style="137" customWidth="1"/>
    <col min="2" max="2" width="16.140625" style="209" customWidth="1"/>
    <col min="3" max="3" width="16.57421875" style="209" customWidth="1"/>
    <col min="4" max="4" width="8.140625" style="209" customWidth="1"/>
    <col min="5" max="5" width="11.28125" style="209" customWidth="1"/>
    <col min="6" max="6" width="8.140625" style="209" customWidth="1"/>
    <col min="7" max="7" width="8.00390625" style="209" customWidth="1"/>
    <col min="8" max="8" width="11.7109375" style="209" customWidth="1"/>
    <col min="9" max="9" width="14.28125" style="209" customWidth="1"/>
    <col min="10" max="10" width="13.28125" style="209" customWidth="1"/>
    <col min="11" max="16384" width="4.140625" style="136" customWidth="1"/>
  </cols>
  <sheetData>
    <row r="1" spans="1:10" ht="12" customHeight="1">
      <c r="A1" s="1492" t="s">
        <v>210</v>
      </c>
      <c r="B1" s="1492"/>
      <c r="C1" s="1492"/>
      <c r="D1" s="1492"/>
      <c r="E1" s="1492"/>
      <c r="F1" s="1492"/>
      <c r="G1" s="1492"/>
      <c r="H1" s="1492"/>
      <c r="I1" s="1492"/>
      <c r="J1" s="1492"/>
    </row>
    <row r="2" spans="1:10" ht="12" customHeight="1">
      <c r="A2" s="1492" t="s">
        <v>0</v>
      </c>
      <c r="B2" s="1492"/>
      <c r="C2" s="1492"/>
      <c r="D2" s="1492"/>
      <c r="E2" s="1492"/>
      <c r="F2" s="1492"/>
      <c r="G2" s="1492"/>
      <c r="H2" s="1492"/>
      <c r="I2" s="1492"/>
      <c r="J2" s="1492"/>
    </row>
    <row r="3" spans="1:10" ht="12" customHeight="1">
      <c r="A3" s="1493" t="s">
        <v>239</v>
      </c>
      <c r="B3" s="1493"/>
      <c r="C3" s="1493"/>
      <c r="D3" s="1493"/>
      <c r="E3" s="1493"/>
      <c r="F3" s="1493"/>
      <c r="G3" s="1493"/>
      <c r="H3" s="1493"/>
      <c r="I3" s="1493"/>
      <c r="J3" s="1493"/>
    </row>
    <row r="4" spans="1:10" ht="12" customHeight="1">
      <c r="A4" s="1492" t="s">
        <v>240</v>
      </c>
      <c r="B4" s="1492"/>
      <c r="C4" s="1492"/>
      <c r="D4" s="1492"/>
      <c r="E4" s="1492"/>
      <c r="F4" s="1492"/>
      <c r="G4" s="1492"/>
      <c r="H4" s="1492"/>
      <c r="I4" s="1492"/>
      <c r="J4" s="1492"/>
    </row>
    <row r="5" spans="1:11" s="1" customFormat="1" ht="15.75" customHeight="1">
      <c r="A5" s="1474" t="str">
        <f>'Anexo III _ RCL'!A5</f>
        <v>Referência: JANEIRO-OUTUBRO/2012; BIMESTRE: SETEMBRO/OUTUBRO/2012</v>
      </c>
      <c r="B5" s="1474"/>
      <c r="C5" s="1474"/>
      <c r="D5" s="1474"/>
      <c r="E5" s="1474"/>
      <c r="F5" s="1474"/>
      <c r="G5" s="858"/>
      <c r="H5" s="1159" t="s">
        <v>789</v>
      </c>
      <c r="I5" s="882"/>
      <c r="J5" s="858"/>
      <c r="K5" s="858"/>
    </row>
    <row r="6" spans="1:9" ht="12.75" customHeight="1">
      <c r="A6" s="211"/>
      <c r="B6" s="212"/>
      <c r="C6" s="212"/>
      <c r="D6" s="212"/>
      <c r="E6" s="212"/>
      <c r="F6" s="212"/>
      <c r="G6" s="212"/>
      <c r="H6" s="1158" t="s">
        <v>790</v>
      </c>
      <c r="I6" s="212"/>
    </row>
    <row r="7" spans="1:10" ht="12.75" customHeight="1">
      <c r="A7" s="155" t="s">
        <v>677</v>
      </c>
      <c r="F7" s="213"/>
      <c r="G7" s="1527"/>
      <c r="H7" s="1528"/>
      <c r="I7" s="1529" t="s">
        <v>661</v>
      </c>
      <c r="J7" s="1529"/>
    </row>
    <row r="8" spans="1:10" ht="21.75" customHeight="1">
      <c r="A8" s="1429" t="s">
        <v>241</v>
      </c>
      <c r="B8" s="1405" t="s">
        <v>242</v>
      </c>
      <c r="C8" s="1405" t="s">
        <v>243</v>
      </c>
      <c r="D8" s="1403" t="s">
        <v>244</v>
      </c>
      <c r="E8" s="1403"/>
      <c r="F8" s="1403"/>
      <c r="G8" s="1403"/>
      <c r="H8" s="1403"/>
      <c r="I8" s="1403"/>
      <c r="J8" s="1404"/>
    </row>
    <row r="9" spans="1:10" ht="21.75" customHeight="1">
      <c r="A9" s="1429"/>
      <c r="B9" s="1405"/>
      <c r="C9" s="1405"/>
      <c r="D9" s="1504" t="s">
        <v>122</v>
      </c>
      <c r="E9" s="1504"/>
      <c r="F9" s="1405" t="s">
        <v>123</v>
      </c>
      <c r="G9" s="1405"/>
      <c r="H9" s="1405"/>
      <c r="I9" s="1403" t="s">
        <v>696</v>
      </c>
      <c r="J9" s="1404"/>
    </row>
    <row r="10" spans="1:10" s="231" customFormat="1" ht="21.75" customHeight="1">
      <c r="A10" s="1045" t="s">
        <v>245</v>
      </c>
      <c r="B10" s="1046">
        <f>B11+B31</f>
        <v>71811585</v>
      </c>
      <c r="C10" s="1046">
        <f>C11+C31</f>
        <v>71811585</v>
      </c>
      <c r="D10" s="1494">
        <f>D11+D31</f>
        <v>236407.66</v>
      </c>
      <c r="E10" s="1494"/>
      <c r="F10" s="1494">
        <f>F11+F31</f>
        <v>47084415.27</v>
      </c>
      <c r="G10" s="1494"/>
      <c r="H10" s="1494"/>
      <c r="I10" s="1525">
        <f>I11+I31</f>
        <v>30991974.589999996</v>
      </c>
      <c r="J10" s="1526"/>
    </row>
    <row r="11" spans="1:10" s="231" customFormat="1" ht="13.5" customHeight="1">
      <c r="A11" s="1047" t="s">
        <v>18</v>
      </c>
      <c r="B11" s="1043">
        <f>B12+B23+B28</f>
        <v>71811585</v>
      </c>
      <c r="C11" s="1043">
        <f>C12+C23+C28</f>
        <v>71811585</v>
      </c>
      <c r="D11" s="1499">
        <f>D12+D23+D28</f>
        <v>236407.66</v>
      </c>
      <c r="E11" s="1499"/>
      <c r="F11" s="1494">
        <f>F12+F23+F28</f>
        <v>47084415.27</v>
      </c>
      <c r="G11" s="1494"/>
      <c r="H11" s="1494"/>
      <c r="I11" s="1502">
        <f>I12+I23+I28</f>
        <v>30991974.589999996</v>
      </c>
      <c r="J11" s="1522"/>
    </row>
    <row r="12" spans="1:10" s="231" customFormat="1" ht="13.5" customHeight="1">
      <c r="A12" s="1048" t="s">
        <v>222</v>
      </c>
      <c r="B12" s="999">
        <f>B13</f>
        <v>69085622</v>
      </c>
      <c r="C12" s="999">
        <f>C13</f>
        <v>69085622</v>
      </c>
      <c r="D12" s="1499">
        <f>D13</f>
        <v>-1504321.9900000002</v>
      </c>
      <c r="E12" s="1499"/>
      <c r="F12" s="1389">
        <f>F13</f>
        <v>32029990.95</v>
      </c>
      <c r="G12" s="1389"/>
      <c r="H12" s="1389"/>
      <c r="I12" s="1523">
        <f>I13</f>
        <v>26554794.669999998</v>
      </c>
      <c r="J12" s="1524"/>
    </row>
    <row r="13" spans="1:10" s="231" customFormat="1" ht="13.5" customHeight="1">
      <c r="A13" s="1049" t="s">
        <v>246</v>
      </c>
      <c r="B13" s="999">
        <f>B14+B15+B16+B17</f>
        <v>69085622</v>
      </c>
      <c r="C13" s="999">
        <f>C14+C15+C16+C17</f>
        <v>69085622</v>
      </c>
      <c r="D13" s="1499">
        <f>D15+D16+D17</f>
        <v>-1504321.9900000002</v>
      </c>
      <c r="E13" s="1499"/>
      <c r="F13" s="1389">
        <f>F14+F15+F16+F17</f>
        <v>32029990.95</v>
      </c>
      <c r="G13" s="1389"/>
      <c r="H13" s="1389"/>
      <c r="I13" s="1390">
        <f>I14+I15+I16+I17</f>
        <v>26554794.669999998</v>
      </c>
      <c r="J13" s="1521"/>
    </row>
    <row r="14" spans="1:10" ht="6.75" customHeight="1">
      <c r="A14" s="220"/>
      <c r="B14" s="997"/>
      <c r="C14" s="996"/>
      <c r="D14" s="1388"/>
      <c r="E14" s="1388"/>
      <c r="F14" s="1388"/>
      <c r="G14" s="1388"/>
      <c r="H14" s="995"/>
      <c r="I14" s="1399"/>
      <c r="J14" s="1400"/>
    </row>
    <row r="15" spans="1:10" ht="13.5" customHeight="1">
      <c r="A15" s="220" t="s">
        <v>247</v>
      </c>
      <c r="B15" s="996">
        <v>63869432</v>
      </c>
      <c r="C15" s="996">
        <f>B15</f>
        <v>63869432</v>
      </c>
      <c r="D15" s="1512">
        <f>F15-'[21]Anexo V _ PREVID '!F15</f>
        <v>-1784980.75</v>
      </c>
      <c r="E15" s="1512"/>
      <c r="F15" s="1514">
        <v>30647098.38</v>
      </c>
      <c r="G15" s="1514"/>
      <c r="H15" s="1514"/>
      <c r="I15" s="1515">
        <v>25181117.86</v>
      </c>
      <c r="J15" s="1516"/>
    </row>
    <row r="16" spans="1:10" ht="13.5" customHeight="1">
      <c r="A16" s="220" t="s">
        <v>248</v>
      </c>
      <c r="B16" s="996">
        <v>3912142</v>
      </c>
      <c r="C16" s="996">
        <f>B16</f>
        <v>3912142</v>
      </c>
      <c r="D16" s="1387">
        <f>F16-'[21]Anexo V _ PREVID '!F16</f>
        <v>221469.29999999993</v>
      </c>
      <c r="E16" s="1388"/>
      <c r="F16" s="1514">
        <v>1079111.89</v>
      </c>
      <c r="G16" s="1514"/>
      <c r="H16" s="1514"/>
      <c r="I16" s="1519">
        <v>1059667.98</v>
      </c>
      <c r="J16" s="1520"/>
    </row>
    <row r="17" spans="1:10" ht="13.5" customHeight="1">
      <c r="A17" s="220" t="s">
        <v>249</v>
      </c>
      <c r="B17" s="996">
        <v>1304048</v>
      </c>
      <c r="C17" s="996">
        <f>B17</f>
        <v>1304048</v>
      </c>
      <c r="D17" s="1387">
        <f>F17-'[21]Anexo V _ PREVID '!F17</f>
        <v>59189.45999999999</v>
      </c>
      <c r="E17" s="1388"/>
      <c r="F17" s="1514">
        <v>303780.68</v>
      </c>
      <c r="G17" s="1514"/>
      <c r="H17" s="1514"/>
      <c r="I17" s="1515">
        <v>314008.83</v>
      </c>
      <c r="J17" s="1516"/>
    </row>
    <row r="18" spans="1:10" s="231" customFormat="1" ht="13.5" customHeight="1">
      <c r="A18" s="1049" t="s">
        <v>250</v>
      </c>
      <c r="B18" s="999">
        <f>B19+B20+B21</f>
        <v>0</v>
      </c>
      <c r="C18" s="999">
        <f>C19+C20+C21</f>
        <v>0</v>
      </c>
      <c r="D18" s="1517">
        <f>D19+D20+D21</f>
        <v>0</v>
      </c>
      <c r="E18" s="1518"/>
      <c r="F18" s="1389">
        <f>F19+F20+F21</f>
        <v>0</v>
      </c>
      <c r="G18" s="1389"/>
      <c r="H18" s="1389"/>
      <c r="I18" s="1502">
        <v>0</v>
      </c>
      <c r="J18" s="1509"/>
    </row>
    <row r="19" spans="1:10" ht="13.5" customHeight="1">
      <c r="A19" s="220" t="s">
        <v>251</v>
      </c>
      <c r="B19" s="996"/>
      <c r="C19" s="996"/>
      <c r="D19" s="1388"/>
      <c r="E19" s="1388"/>
      <c r="F19" s="1394"/>
      <c r="G19" s="1394"/>
      <c r="H19" s="1394"/>
      <c r="I19" s="1385">
        <v>0</v>
      </c>
      <c r="J19" s="1386"/>
    </row>
    <row r="20" spans="1:10" ht="13.5" customHeight="1">
      <c r="A20" s="220" t="s">
        <v>252</v>
      </c>
      <c r="B20" s="996"/>
      <c r="C20" s="996"/>
      <c r="D20" s="1388"/>
      <c r="E20" s="1388"/>
      <c r="F20" s="1394"/>
      <c r="G20" s="1394"/>
      <c r="H20" s="1394"/>
      <c r="I20" s="1385">
        <v>0</v>
      </c>
      <c r="J20" s="1386"/>
    </row>
    <row r="21" spans="1:10" ht="13.5" customHeight="1">
      <c r="A21" s="220" t="s">
        <v>253</v>
      </c>
      <c r="B21" s="996"/>
      <c r="C21" s="996"/>
      <c r="D21" s="1388"/>
      <c r="E21" s="1388"/>
      <c r="F21" s="1394">
        <f>D21</f>
        <v>0</v>
      </c>
      <c r="G21" s="1394"/>
      <c r="H21" s="1394"/>
      <c r="I21" s="1385">
        <v>0</v>
      </c>
      <c r="J21" s="1386"/>
    </row>
    <row r="22" spans="1:10" ht="13.5" customHeight="1">
      <c r="A22" s="217" t="s">
        <v>254</v>
      </c>
      <c r="B22" s="996"/>
      <c r="C22" s="996"/>
      <c r="D22" s="995"/>
      <c r="E22" s="998"/>
      <c r="F22" s="1394">
        <f>D22</f>
        <v>0</v>
      </c>
      <c r="G22" s="1394"/>
      <c r="H22" s="1394"/>
      <c r="I22" s="1385">
        <v>0</v>
      </c>
      <c r="J22" s="1386"/>
    </row>
    <row r="23" spans="1:10" s="231" customFormat="1" ht="13.5" customHeight="1">
      <c r="A23" s="1048" t="s">
        <v>223</v>
      </c>
      <c r="B23" s="999">
        <f>B24+B25+B26</f>
        <v>2524520</v>
      </c>
      <c r="C23" s="999">
        <f>C24+C25+C26</f>
        <v>2524520</v>
      </c>
      <c r="D23" s="1390">
        <f>D24+D25+D26</f>
        <v>1494817.9100000001</v>
      </c>
      <c r="E23" s="1416"/>
      <c r="F23" s="1494">
        <f>F24+F25+F26</f>
        <v>14440023.14</v>
      </c>
      <c r="G23" s="1494"/>
      <c r="H23" s="1494"/>
      <c r="I23" s="1502">
        <f>I24+I25+I26</f>
        <v>3325390.06</v>
      </c>
      <c r="J23" s="1509"/>
    </row>
    <row r="24" spans="1:10" ht="13.5" customHeight="1">
      <c r="A24" s="219" t="s">
        <v>28</v>
      </c>
      <c r="B24" s="996"/>
      <c r="C24" s="996"/>
      <c r="D24" s="1387">
        <f>F24-'[21]Anexo V _ PREVID '!F24</f>
        <v>0</v>
      </c>
      <c r="E24" s="1388"/>
      <c r="F24" s="1394">
        <v>0</v>
      </c>
      <c r="G24" s="1394"/>
      <c r="H24" s="1394"/>
      <c r="I24" s="1392">
        <v>0</v>
      </c>
      <c r="J24" s="1393"/>
    </row>
    <row r="25" spans="1:10" ht="13.5" customHeight="1">
      <c r="A25" s="219" t="s">
        <v>29</v>
      </c>
      <c r="B25" s="996">
        <v>2524520</v>
      </c>
      <c r="C25" s="996">
        <f>B25</f>
        <v>2524520</v>
      </c>
      <c r="D25" s="1387">
        <f>F25-'[21]Anexo V _ PREVID '!F25</f>
        <v>1870870.0700000003</v>
      </c>
      <c r="E25" s="1388"/>
      <c r="F25" s="1394">
        <v>14366201.72</v>
      </c>
      <c r="G25" s="1394"/>
      <c r="H25" s="1394"/>
      <c r="I25" s="1385">
        <v>3285425.52</v>
      </c>
      <c r="J25" s="1386"/>
    </row>
    <row r="26" spans="1:10" ht="13.5" customHeight="1">
      <c r="A26" s="219" t="s">
        <v>32</v>
      </c>
      <c r="B26" s="996"/>
      <c r="C26" s="996"/>
      <c r="D26" s="1512">
        <f>F26-'[21]Anexo V _ PREVID '!F26</f>
        <v>-376052.16000000003</v>
      </c>
      <c r="E26" s="1512"/>
      <c r="F26" s="1394">
        <v>73821.42</v>
      </c>
      <c r="G26" s="1394"/>
      <c r="H26" s="1394"/>
      <c r="I26" s="1392">
        <v>39964.54</v>
      </c>
      <c r="J26" s="1393"/>
    </row>
    <row r="27" spans="1:10" ht="13.5" customHeight="1">
      <c r="A27" s="1048" t="s">
        <v>34</v>
      </c>
      <c r="B27" s="996"/>
      <c r="C27" s="996"/>
      <c r="D27" s="1513"/>
      <c r="E27" s="1513"/>
      <c r="F27" s="1394"/>
      <c r="G27" s="1394"/>
      <c r="H27" s="1394"/>
      <c r="I27" s="1385">
        <v>0</v>
      </c>
      <c r="J27" s="1386"/>
    </row>
    <row r="28" spans="1:10" s="231" customFormat="1" ht="13.5" customHeight="1">
      <c r="A28" s="1048" t="s">
        <v>233</v>
      </c>
      <c r="B28" s="999">
        <f>B29+B30</f>
        <v>201443</v>
      </c>
      <c r="C28" s="999">
        <f>C29+C30</f>
        <v>201443</v>
      </c>
      <c r="D28" s="1498">
        <f>D29+D30</f>
        <v>245911.74000000008</v>
      </c>
      <c r="E28" s="1498"/>
      <c r="F28" s="1494">
        <f>F29+F30</f>
        <v>614401.18</v>
      </c>
      <c r="G28" s="1494"/>
      <c r="H28" s="1494"/>
      <c r="I28" s="1506">
        <f>I29+I30</f>
        <v>1111789.8599999999</v>
      </c>
      <c r="J28" s="1507"/>
    </row>
    <row r="29" spans="1:10" ht="13.5" customHeight="1">
      <c r="A29" s="219" t="s">
        <v>255</v>
      </c>
      <c r="B29" s="996">
        <v>201443</v>
      </c>
      <c r="C29" s="996">
        <f>B29</f>
        <v>201443</v>
      </c>
      <c r="D29" s="1387">
        <f>F29-'[21]Anexo V _ PREVID '!F29</f>
        <v>37295.42000000004</v>
      </c>
      <c r="E29" s="1388"/>
      <c r="F29" s="1385">
        <v>266405.03</v>
      </c>
      <c r="G29" s="1398"/>
      <c r="H29" s="1397"/>
      <c r="I29" s="1510">
        <v>157088.16</v>
      </c>
      <c r="J29" s="1511"/>
    </row>
    <row r="30" spans="1:10" ht="13.5" customHeight="1">
      <c r="A30" s="217" t="s">
        <v>256</v>
      </c>
      <c r="B30" s="996"/>
      <c r="C30" s="996"/>
      <c r="D30" s="1387">
        <f>F30-'[21]Anexo V _ PREVID '!F30</f>
        <v>208616.32000000004</v>
      </c>
      <c r="E30" s="1388"/>
      <c r="F30" s="1394">
        <v>347996.15</v>
      </c>
      <c r="G30" s="1394"/>
      <c r="H30" s="1394"/>
      <c r="I30" s="1385">
        <v>954701.7</v>
      </c>
      <c r="J30" s="1386"/>
    </row>
    <row r="31" spans="1:10" s="231" customFormat="1" ht="13.5" customHeight="1">
      <c r="A31" s="1042" t="s">
        <v>44</v>
      </c>
      <c r="B31" s="999">
        <f>B32+B34</f>
        <v>0</v>
      </c>
      <c r="C31" s="999">
        <f>C32+C34</f>
        <v>0</v>
      </c>
      <c r="D31" s="1508">
        <v>0</v>
      </c>
      <c r="E31" s="1499"/>
      <c r="F31" s="1389">
        <f>F32+F34</f>
        <v>0</v>
      </c>
      <c r="G31" s="1389"/>
      <c r="H31" s="1389"/>
      <c r="I31" s="1502">
        <v>0</v>
      </c>
      <c r="J31" s="1509"/>
    </row>
    <row r="32" spans="1:10" ht="13.5" customHeight="1">
      <c r="A32" s="217" t="s">
        <v>257</v>
      </c>
      <c r="B32" s="996"/>
      <c r="C32" s="996"/>
      <c r="D32" s="1387">
        <f>F32-'[21]Anexo V _ PREVID '!F32</f>
        <v>0</v>
      </c>
      <c r="E32" s="1388"/>
      <c r="F32" s="1394"/>
      <c r="G32" s="1394"/>
      <c r="H32" s="1394"/>
      <c r="I32" s="1385">
        <v>0</v>
      </c>
      <c r="J32" s="1386"/>
    </row>
    <row r="33" spans="1:10" ht="13.5" customHeight="1">
      <c r="A33" s="217" t="s">
        <v>258</v>
      </c>
      <c r="B33" s="996"/>
      <c r="C33" s="996"/>
      <c r="D33" s="1387">
        <f>F33-'[21]Anexo V _ PREVID '!F33</f>
        <v>0</v>
      </c>
      <c r="E33" s="1388"/>
      <c r="F33" s="1394"/>
      <c r="G33" s="1394"/>
      <c r="H33" s="1394"/>
      <c r="I33" s="1385">
        <v>0</v>
      </c>
      <c r="J33" s="1386"/>
    </row>
    <row r="34" spans="1:10" ht="13.5" customHeight="1">
      <c r="A34" s="217" t="s">
        <v>259</v>
      </c>
      <c r="B34" s="996"/>
      <c r="C34" s="996"/>
      <c r="D34" s="1387">
        <f>F34-'[21]Anexo V _ PREVID '!F34</f>
        <v>0</v>
      </c>
      <c r="E34" s="1388"/>
      <c r="F34" s="1394"/>
      <c r="G34" s="1394"/>
      <c r="H34" s="1394"/>
      <c r="I34" s="1385">
        <v>0</v>
      </c>
      <c r="J34" s="1386"/>
    </row>
    <row r="35" spans="1:10" ht="13.5" customHeight="1">
      <c r="A35" s="223" t="s">
        <v>260</v>
      </c>
      <c r="B35" s="996"/>
      <c r="C35" s="996"/>
      <c r="D35" s="1387">
        <f>F35-'[21]Anexo V _ PREVID '!F35</f>
        <v>0</v>
      </c>
      <c r="E35" s="1388"/>
      <c r="F35" s="1394">
        <v>0</v>
      </c>
      <c r="G35" s="1394"/>
      <c r="H35" s="1394"/>
      <c r="I35" s="1385">
        <v>0</v>
      </c>
      <c r="J35" s="1386"/>
    </row>
    <row r="36" spans="1:10" ht="13.5" customHeight="1">
      <c r="A36" s="215" t="s">
        <v>261</v>
      </c>
      <c r="B36" s="996"/>
      <c r="C36" s="996"/>
      <c r="D36" s="1387">
        <f>F36-'[21]Anexo V _ PREVID '!F36</f>
        <v>0</v>
      </c>
      <c r="E36" s="1388"/>
      <c r="F36" s="1394">
        <v>0</v>
      </c>
      <c r="G36" s="1394"/>
      <c r="H36" s="1394"/>
      <c r="I36" s="1385">
        <v>0</v>
      </c>
      <c r="J36" s="1386"/>
    </row>
    <row r="37" spans="1:10" s="231" customFormat="1" ht="13.5" customHeight="1">
      <c r="A37" s="1045" t="s">
        <v>262</v>
      </c>
      <c r="B37" s="999">
        <f>B122</f>
        <v>69085622</v>
      </c>
      <c r="C37" s="999">
        <f>C122</f>
        <v>69085622</v>
      </c>
      <c r="D37" s="1505">
        <f>D122</f>
        <v>174939.88000000268</v>
      </c>
      <c r="E37" s="1499"/>
      <c r="F37" s="1494">
        <f>F122</f>
        <v>39267061.13</v>
      </c>
      <c r="G37" s="1494"/>
      <c r="H37" s="1494"/>
      <c r="I37" s="1506">
        <f>I122</f>
        <v>24965580.16</v>
      </c>
      <c r="J37" s="1507"/>
    </row>
    <row r="38" spans="1:10" ht="15.75" customHeight="1">
      <c r="A38" s="230" t="s">
        <v>263</v>
      </c>
      <c r="B38" s="999">
        <f>B10+B37</f>
        <v>140897207</v>
      </c>
      <c r="C38" s="999">
        <f>C10+C37</f>
        <v>140897207</v>
      </c>
      <c r="D38" s="1389">
        <f>D10+D37</f>
        <v>411347.5400000027</v>
      </c>
      <c r="E38" s="1389"/>
      <c r="F38" s="1389">
        <f>F10+F37</f>
        <v>86351476.4</v>
      </c>
      <c r="G38" s="1389"/>
      <c r="H38" s="1389"/>
      <c r="I38" s="1390">
        <f>I10+I37</f>
        <v>55957554.75</v>
      </c>
      <c r="J38" s="1391"/>
    </row>
    <row r="39" spans="2:10" ht="8.25" customHeight="1">
      <c r="B39" s="225"/>
      <c r="C39" s="225"/>
      <c r="D39" s="225"/>
      <c r="E39" s="225"/>
      <c r="F39" s="225"/>
      <c r="G39" s="225"/>
      <c r="H39" s="225"/>
      <c r="I39" s="1247"/>
      <c r="J39" s="1247"/>
    </row>
    <row r="40" spans="1:10" ht="12.75" customHeight="1">
      <c r="A40" s="1401" t="s">
        <v>264</v>
      </c>
      <c r="B40" s="1402" t="s">
        <v>265</v>
      </c>
      <c r="C40" s="1402" t="s">
        <v>266</v>
      </c>
      <c r="D40" s="1503" t="s">
        <v>267</v>
      </c>
      <c r="E40" s="1503"/>
      <c r="F40" s="1503"/>
      <c r="G40" s="1503"/>
      <c r="H40" s="1503"/>
      <c r="I40" s="1503"/>
      <c r="J40" s="1503"/>
    </row>
    <row r="41" spans="1:10" ht="12.75" customHeight="1">
      <c r="A41" s="1401"/>
      <c r="B41" s="1402"/>
      <c r="C41" s="1402"/>
      <c r="D41" s="1405" t="s">
        <v>692</v>
      </c>
      <c r="E41" s="1405"/>
      <c r="F41" s="1405"/>
      <c r="G41" s="1405"/>
      <c r="H41" s="1405"/>
      <c r="I41" s="1405" t="s">
        <v>628</v>
      </c>
      <c r="J41" s="1405"/>
    </row>
    <row r="42" spans="1:10" ht="13.5" customHeight="1">
      <c r="A42" s="1401"/>
      <c r="B42" s="1402"/>
      <c r="C42" s="1402"/>
      <c r="D42" s="1504" t="s">
        <v>69</v>
      </c>
      <c r="E42" s="1504"/>
      <c r="F42" s="1504"/>
      <c r="G42" s="1504"/>
      <c r="H42" s="1500" t="s">
        <v>268</v>
      </c>
      <c r="I42" s="1501" t="s">
        <v>696</v>
      </c>
      <c r="J42" s="1500" t="s">
        <v>268</v>
      </c>
    </row>
    <row r="43" spans="1:10" ht="23.25" customHeight="1">
      <c r="A43" s="1401"/>
      <c r="B43" s="1402"/>
      <c r="C43" s="1402"/>
      <c r="D43" s="1405" t="s">
        <v>122</v>
      </c>
      <c r="E43" s="1405"/>
      <c r="F43" s="1405" t="s">
        <v>123</v>
      </c>
      <c r="G43" s="1405"/>
      <c r="H43" s="1500"/>
      <c r="I43" s="1501"/>
      <c r="J43" s="1500"/>
    </row>
    <row r="44" spans="1:10" s="231" customFormat="1" ht="21.75" customHeight="1">
      <c r="A44" s="1045" t="s">
        <v>269</v>
      </c>
      <c r="B44" s="1046">
        <f>B45+B48</f>
        <v>137809971</v>
      </c>
      <c r="C44" s="1046">
        <f>C45+C48</f>
        <v>137809971</v>
      </c>
      <c r="D44" s="1494">
        <f>D45+D48</f>
        <v>22339738.719999995</v>
      </c>
      <c r="E44" s="1494"/>
      <c r="F44" s="1502">
        <f>F45+F48</f>
        <v>108571456.31</v>
      </c>
      <c r="G44" s="1502"/>
      <c r="H44" s="1041">
        <f>H45+H48</f>
        <v>0</v>
      </c>
      <c r="I44" s="1044">
        <f>I45+I48</f>
        <v>98979017.42999999</v>
      </c>
      <c r="J44" s="1248">
        <f>J45+J48</f>
        <v>0</v>
      </c>
    </row>
    <row r="45" spans="1:10" s="231" customFormat="1" ht="15.75" customHeight="1">
      <c r="A45" s="1042" t="s">
        <v>270</v>
      </c>
      <c r="B45" s="999">
        <f>B47+B46</f>
        <v>6525469</v>
      </c>
      <c r="C45" s="999">
        <f>C47+C46</f>
        <v>6525469</v>
      </c>
      <c r="D45" s="1499">
        <f>D46+D47</f>
        <v>804802.2799999998</v>
      </c>
      <c r="E45" s="1499"/>
      <c r="F45" s="1495">
        <f>F46+F47</f>
        <v>3202418.59</v>
      </c>
      <c r="G45" s="1495"/>
      <c r="H45" s="1044">
        <f>H46+H47</f>
        <v>0</v>
      </c>
      <c r="I45" s="1044">
        <f>I46+I47</f>
        <v>2902166.02</v>
      </c>
      <c r="J45" s="1248">
        <f>J46+J47</f>
        <v>0</v>
      </c>
    </row>
    <row r="46" spans="1:10" ht="15.75" customHeight="1">
      <c r="A46" s="226" t="s">
        <v>271</v>
      </c>
      <c r="B46" s="996">
        <v>6025469</v>
      </c>
      <c r="C46" s="996">
        <f>B46</f>
        <v>6025469</v>
      </c>
      <c r="D46" s="1387">
        <f>F46-'[21]Anexo V _ PREVID '!F46</f>
        <v>764680.2799999998</v>
      </c>
      <c r="E46" s="1388"/>
      <c r="F46" s="1399">
        <v>3121256.59</v>
      </c>
      <c r="G46" s="1399"/>
      <c r="H46" s="1000">
        <v>0</v>
      </c>
      <c r="I46" s="1183">
        <v>2637977.47</v>
      </c>
      <c r="J46" s="1000">
        <v>0</v>
      </c>
    </row>
    <row r="47" spans="1:10" ht="15.75" customHeight="1">
      <c r="A47" s="226" t="s">
        <v>272</v>
      </c>
      <c r="B47" s="996">
        <v>500000</v>
      </c>
      <c r="C47" s="996">
        <f>B47</f>
        <v>500000</v>
      </c>
      <c r="D47" s="1387">
        <f>F47-'[21]Anexo V _ PREVID '!F47</f>
        <v>40122</v>
      </c>
      <c r="E47" s="1388"/>
      <c r="F47" s="1399">
        <v>81162</v>
      </c>
      <c r="G47" s="1399"/>
      <c r="H47" s="1000">
        <v>0</v>
      </c>
      <c r="I47" s="1183">
        <v>264188.55</v>
      </c>
      <c r="J47" s="1000">
        <v>0</v>
      </c>
    </row>
    <row r="48" spans="1:10" s="231" customFormat="1" ht="15.75" customHeight="1">
      <c r="A48" s="1052" t="s">
        <v>273</v>
      </c>
      <c r="B48" s="999">
        <f>B49+B53+B57</f>
        <v>131284502</v>
      </c>
      <c r="C48" s="999">
        <f>C49+C53+C57</f>
        <v>131284502</v>
      </c>
      <c r="D48" s="1495">
        <f>D49+D53+D57</f>
        <v>21534936.439999994</v>
      </c>
      <c r="E48" s="1495"/>
      <c r="F48" s="1495">
        <f>F49+F53+F57</f>
        <v>105369037.72</v>
      </c>
      <c r="G48" s="1495"/>
      <c r="H48" s="1044">
        <f>H49+H53+H57</f>
        <v>0</v>
      </c>
      <c r="I48" s="1044">
        <f>I49+I53+I57</f>
        <v>96076851.41</v>
      </c>
      <c r="J48" s="1248">
        <f>J49+J53+J57</f>
        <v>0</v>
      </c>
    </row>
    <row r="49" spans="1:10" s="231" customFormat="1" ht="15.75" customHeight="1">
      <c r="A49" s="1053" t="s">
        <v>246</v>
      </c>
      <c r="B49" s="999">
        <f>B50+B51+B52</f>
        <v>131284502</v>
      </c>
      <c r="C49" s="999">
        <f>C50+C51+C52</f>
        <v>131284502</v>
      </c>
      <c r="D49" s="1498">
        <f>D50+D51+D52</f>
        <v>21534936.439999994</v>
      </c>
      <c r="E49" s="1498"/>
      <c r="F49" s="1495">
        <f>F50+F51+F52</f>
        <v>105369037.72</v>
      </c>
      <c r="G49" s="1495"/>
      <c r="H49" s="1044">
        <f>H50+H51+H52</f>
        <v>0</v>
      </c>
      <c r="I49" s="1044">
        <f>I50+I51+I52</f>
        <v>96076851.41</v>
      </c>
      <c r="J49" s="1248">
        <f>J50+J51+J52</f>
        <v>0</v>
      </c>
    </row>
    <row r="50" spans="1:10" ht="15.75" customHeight="1">
      <c r="A50" s="229" t="s">
        <v>274</v>
      </c>
      <c r="B50" s="996">
        <v>108000945</v>
      </c>
      <c r="C50" s="996">
        <f>B50</f>
        <v>108000945</v>
      </c>
      <c r="D50" s="1387">
        <f>F50-'[21]Anexo V _ PREVID '!F50</f>
        <v>17644427.489999995</v>
      </c>
      <c r="E50" s="1388"/>
      <c r="F50" s="1399">
        <v>86146463.5</v>
      </c>
      <c r="G50" s="1399"/>
      <c r="H50" s="1000">
        <v>0</v>
      </c>
      <c r="I50" s="1183">
        <v>80478773.13</v>
      </c>
      <c r="J50" s="1000">
        <v>0</v>
      </c>
    </row>
    <row r="51" spans="1:10" ht="15.75" customHeight="1">
      <c r="A51" s="229" t="s">
        <v>275</v>
      </c>
      <c r="B51" s="996">
        <v>23019015</v>
      </c>
      <c r="C51" s="996">
        <f>B51</f>
        <v>23019015</v>
      </c>
      <c r="D51" s="1387">
        <f>F51-'[21]Anexo V _ PREVID '!F51</f>
        <v>3890508.9499999993</v>
      </c>
      <c r="E51" s="1388"/>
      <c r="F51" s="1399">
        <v>19222574.22</v>
      </c>
      <c r="G51" s="1399"/>
      <c r="H51" s="1000">
        <v>0</v>
      </c>
      <c r="I51" s="1183">
        <v>15598078.28</v>
      </c>
      <c r="J51" s="1000">
        <v>0</v>
      </c>
    </row>
    <row r="52" spans="1:10" ht="15.75" customHeight="1">
      <c r="A52" s="229" t="s">
        <v>276</v>
      </c>
      <c r="B52" s="996">
        <v>264542</v>
      </c>
      <c r="C52" s="996">
        <f>B52</f>
        <v>264542</v>
      </c>
      <c r="D52" s="1387">
        <f>F52-'[21]Anexo V _ PREVID '!F52</f>
        <v>0</v>
      </c>
      <c r="E52" s="1388"/>
      <c r="F52" s="1399">
        <v>0</v>
      </c>
      <c r="G52" s="1399"/>
      <c r="H52" s="1000">
        <v>0</v>
      </c>
      <c r="I52" s="1183">
        <v>0</v>
      </c>
      <c r="J52" s="1000">
        <v>0</v>
      </c>
    </row>
    <row r="53" spans="1:10" s="231" customFormat="1" ht="15.75" customHeight="1">
      <c r="A53" s="1053" t="s">
        <v>250</v>
      </c>
      <c r="B53" s="999">
        <f>B54+B55+B56</f>
        <v>0</v>
      </c>
      <c r="C53" s="999">
        <f>C54+C55+C56</f>
        <v>0</v>
      </c>
      <c r="D53" s="1496">
        <f>D54+D55+D56</f>
        <v>0</v>
      </c>
      <c r="E53" s="1497"/>
      <c r="F53" s="1495">
        <f>F54+F55+F56</f>
        <v>0</v>
      </c>
      <c r="G53" s="1495"/>
      <c r="H53" s="1051">
        <v>0</v>
      </c>
      <c r="I53" s="1044">
        <f>I54+I55+I56</f>
        <v>0</v>
      </c>
      <c r="J53" s="1051">
        <v>0</v>
      </c>
    </row>
    <row r="54" spans="1:10" ht="13.5" customHeight="1">
      <c r="A54" s="229" t="s">
        <v>277</v>
      </c>
      <c r="B54" s="996"/>
      <c r="C54" s="996">
        <f>B54</f>
        <v>0</v>
      </c>
      <c r="D54" s="1387">
        <f>F54-'[21]Anexo V _ PREVID '!F54</f>
        <v>0</v>
      </c>
      <c r="E54" s="1388"/>
      <c r="F54" s="1399"/>
      <c r="G54" s="1399"/>
      <c r="H54" s="1000">
        <v>0</v>
      </c>
      <c r="I54" s="1183">
        <v>0</v>
      </c>
      <c r="J54" s="1000">
        <v>0</v>
      </c>
    </row>
    <row r="55" spans="1:10" ht="13.5" customHeight="1">
      <c r="A55" s="229" t="s">
        <v>275</v>
      </c>
      <c r="B55" s="996"/>
      <c r="C55" s="996">
        <f>B55</f>
        <v>0</v>
      </c>
      <c r="D55" s="1387">
        <f>F55-'[21]Anexo V _ PREVID '!F55</f>
        <v>0</v>
      </c>
      <c r="E55" s="1388"/>
      <c r="F55" s="1399"/>
      <c r="G55" s="1399"/>
      <c r="H55" s="1000">
        <v>0</v>
      </c>
      <c r="I55" s="1183">
        <v>0</v>
      </c>
      <c r="J55" s="1000">
        <v>0</v>
      </c>
    </row>
    <row r="56" spans="1:10" s="231" customFormat="1" ht="13.5" customHeight="1">
      <c r="A56" s="229" t="s">
        <v>276</v>
      </c>
      <c r="B56" s="999"/>
      <c r="C56" s="999">
        <f>B56</f>
        <v>0</v>
      </c>
      <c r="D56" s="1387">
        <f>F56-'[21]Anexo V _ PREVID '!F56</f>
        <v>0</v>
      </c>
      <c r="E56" s="1388"/>
      <c r="F56" s="1495"/>
      <c r="G56" s="1495"/>
      <c r="H56" s="1051">
        <v>0</v>
      </c>
      <c r="I56" s="1044">
        <v>0</v>
      </c>
      <c r="J56" s="1051">
        <v>0</v>
      </c>
    </row>
    <row r="57" spans="1:10" s="231" customFormat="1" ht="13.5" customHeight="1">
      <c r="A57" s="1050" t="s">
        <v>278</v>
      </c>
      <c r="B57" s="999">
        <f>B58+B59</f>
        <v>0</v>
      </c>
      <c r="C57" s="999">
        <f>C58+C59</f>
        <v>0</v>
      </c>
      <c r="D57" s="1495">
        <f>D58+D59</f>
        <v>0</v>
      </c>
      <c r="E57" s="1495"/>
      <c r="F57" s="1495">
        <f>F58+F59</f>
        <v>0</v>
      </c>
      <c r="G57" s="1495"/>
      <c r="H57" s="1051">
        <v>0</v>
      </c>
      <c r="I57" s="1044">
        <v>0</v>
      </c>
      <c r="J57" s="1051">
        <v>0</v>
      </c>
    </row>
    <row r="58" spans="1:10" ht="13.5" customHeight="1">
      <c r="A58" s="228" t="s">
        <v>279</v>
      </c>
      <c r="B58" s="996"/>
      <c r="C58" s="996">
        <f>B58</f>
        <v>0</v>
      </c>
      <c r="D58" s="1387">
        <f>F58-'[21]Anexo V _ PREVID '!F58</f>
        <v>0</v>
      </c>
      <c r="E58" s="1388"/>
      <c r="F58" s="1399"/>
      <c r="G58" s="1399"/>
      <c r="H58" s="1000">
        <v>0</v>
      </c>
      <c r="I58" s="1183">
        <v>0</v>
      </c>
      <c r="J58" s="1000">
        <v>0</v>
      </c>
    </row>
    <row r="59" spans="1:10" ht="13.5" customHeight="1">
      <c r="A59" s="226" t="s">
        <v>280</v>
      </c>
      <c r="B59" s="996"/>
      <c r="C59" s="996"/>
      <c r="D59" s="1387">
        <f>F59-'[21]Anexo V _ PREVID '!F59</f>
        <v>0</v>
      </c>
      <c r="E59" s="1388"/>
      <c r="F59" s="1385"/>
      <c r="G59" s="1385"/>
      <c r="H59" s="1000">
        <v>0</v>
      </c>
      <c r="I59" s="1183">
        <v>0</v>
      </c>
      <c r="J59" s="1000">
        <v>0</v>
      </c>
    </row>
    <row r="60" spans="1:10" ht="13.5" customHeight="1">
      <c r="A60" s="215" t="s">
        <v>281</v>
      </c>
      <c r="B60" s="996">
        <v>0</v>
      </c>
      <c r="C60" s="996">
        <v>0</v>
      </c>
      <c r="D60" s="1387">
        <f>F60-'[21]Anexo V _ PREVID '!F60</f>
        <v>0</v>
      </c>
      <c r="E60" s="1388"/>
      <c r="F60" s="1394">
        <v>0</v>
      </c>
      <c r="G60" s="1394"/>
      <c r="H60" s="1000">
        <v>0</v>
      </c>
      <c r="I60" s="1183">
        <v>0</v>
      </c>
      <c r="J60" s="1000">
        <v>0</v>
      </c>
    </row>
    <row r="61" spans="1:10" s="231" customFormat="1" ht="15.75" customHeight="1">
      <c r="A61" s="230" t="s">
        <v>282</v>
      </c>
      <c r="B61" s="999">
        <f>B44+B60</f>
        <v>137809971</v>
      </c>
      <c r="C61" s="999">
        <f>C44+C60</f>
        <v>137809971</v>
      </c>
      <c r="D61" s="1494">
        <f>D44+D60</f>
        <v>22339738.719999995</v>
      </c>
      <c r="E61" s="1494"/>
      <c r="F61" s="1494">
        <f>F44+F60+H44+H60</f>
        <v>108571456.31</v>
      </c>
      <c r="G61" s="1494"/>
      <c r="H61" s="1494"/>
      <c r="I61" s="1494">
        <f>I44+J44</f>
        <v>98979017.42999999</v>
      </c>
      <c r="J61" s="1494"/>
    </row>
    <row r="62" spans="1:10" ht="15.75" customHeight="1">
      <c r="A62" s="224" t="s">
        <v>283</v>
      </c>
      <c r="B62" s="999">
        <f>B38-B61</f>
        <v>3087236</v>
      </c>
      <c r="C62" s="999">
        <f>C38-C61</f>
        <v>3087236</v>
      </c>
      <c r="D62" s="1389">
        <f>D38-D61</f>
        <v>-21928391.179999992</v>
      </c>
      <c r="E62" s="1389"/>
      <c r="F62" s="1389">
        <f>F38-F61</f>
        <v>-22219979.909999996</v>
      </c>
      <c r="G62" s="1389"/>
      <c r="H62" s="1389"/>
      <c r="I62" s="1389">
        <f>I38-I61</f>
        <v>-43021462.67999999</v>
      </c>
      <c r="J62" s="1389"/>
    </row>
    <row r="63" spans="1:10" ht="12.75" customHeight="1">
      <c r="A63" s="232"/>
      <c r="B63" s="233"/>
      <c r="C63" s="234"/>
      <c r="D63" s="234"/>
      <c r="E63" s="234"/>
      <c r="F63" s="1490"/>
      <c r="G63" s="1490"/>
      <c r="H63" s="235"/>
      <c r="I63" s="1249"/>
      <c r="J63" s="1250" t="s">
        <v>178</v>
      </c>
    </row>
    <row r="64" spans="1:10" ht="24.75" customHeight="1">
      <c r="A64" s="1491" t="s">
        <v>106</v>
      </c>
      <c r="B64" s="1491"/>
      <c r="C64" s="1491"/>
      <c r="D64" s="1491"/>
      <c r="E64" s="1491"/>
      <c r="F64" s="1491"/>
      <c r="G64" s="1491"/>
      <c r="H64" s="1491"/>
      <c r="I64" s="1491"/>
      <c r="J64" s="1491"/>
    </row>
    <row r="65" spans="1:10" ht="12.75" customHeight="1">
      <c r="A65" s="236" t="str">
        <f>'[17]Anexo II_DP FUNC'!A122:L122</f>
        <v>a) Despesas liquidadas, consideradas aquelas em que houve a entrega do material ou serviço, nos termos do art. 63 da Lei 4.320/64;</v>
      </c>
      <c r="B65" s="233"/>
      <c r="C65" s="234"/>
      <c r="D65" s="234"/>
      <c r="E65" s="234"/>
      <c r="F65" s="235"/>
      <c r="G65" s="235"/>
      <c r="H65" s="235"/>
      <c r="I65" s="1251"/>
      <c r="J65" s="1252"/>
    </row>
    <row r="66" spans="1:10" ht="12.75" customHeight="1">
      <c r="A66" s="236" t="str">
        <f>'[17]Anexo II_DP FUNC'!A123:L123</f>
        <v>b) Despesas empenhadas mas não liquidadas, inscritas em Restos a Pagar não-processados, consideradas liquidadas no encerramento do exercício, por força do art.35, inciso II da Lei 4.320/64.</v>
      </c>
      <c r="B66" s="233"/>
      <c r="C66" s="234"/>
      <c r="D66" s="234"/>
      <c r="E66" s="234"/>
      <c r="F66" s="235"/>
      <c r="G66" s="235"/>
      <c r="H66" s="235"/>
      <c r="I66" s="1251"/>
      <c r="J66" s="1252"/>
    </row>
    <row r="67" spans="2:10" ht="12.75" customHeight="1">
      <c r="B67" s="233"/>
      <c r="C67" s="234"/>
      <c r="D67" s="234"/>
      <c r="E67" s="234"/>
      <c r="F67" s="235"/>
      <c r="G67" s="235"/>
      <c r="H67" s="235"/>
      <c r="I67" s="1251"/>
      <c r="J67" s="1252"/>
    </row>
    <row r="68" spans="2:10" ht="12.75" customHeight="1">
      <c r="B68" s="233"/>
      <c r="C68" s="234"/>
      <c r="D68" s="234"/>
      <c r="E68" s="234"/>
      <c r="F68" s="235"/>
      <c r="G68" s="235"/>
      <c r="H68" s="235"/>
      <c r="I68" s="1251"/>
      <c r="J68" s="1252"/>
    </row>
    <row r="69" spans="2:10" ht="8.25" customHeight="1">
      <c r="B69" s="233"/>
      <c r="C69" s="234"/>
      <c r="D69" s="234"/>
      <c r="E69" s="234"/>
      <c r="F69" s="234"/>
      <c r="G69" s="234"/>
      <c r="H69" s="234"/>
      <c r="I69" s="234"/>
      <c r="J69" s="1253"/>
    </row>
    <row r="70" spans="1:10" ht="12.75">
      <c r="A70" s="1492" t="s">
        <v>210</v>
      </c>
      <c r="B70" s="1492"/>
      <c r="C70" s="1492"/>
      <c r="D70" s="1492"/>
      <c r="E70" s="1492"/>
      <c r="F70" s="1492"/>
      <c r="G70" s="1492"/>
      <c r="H70" s="1492"/>
      <c r="I70" s="1492"/>
      <c r="J70" s="1492"/>
    </row>
    <row r="71" spans="1:10" ht="12.75">
      <c r="A71" s="1492" t="s">
        <v>0</v>
      </c>
      <c r="B71" s="1492"/>
      <c r="C71" s="1492"/>
      <c r="D71" s="1492"/>
      <c r="E71" s="1492"/>
      <c r="F71" s="1492"/>
      <c r="G71" s="1492"/>
      <c r="H71" s="1492"/>
      <c r="I71" s="1492"/>
      <c r="J71" s="1492"/>
    </row>
    <row r="72" spans="1:10" ht="12.75">
      <c r="A72" s="1493" t="s">
        <v>284</v>
      </c>
      <c r="B72" s="1493"/>
      <c r="C72" s="1493"/>
      <c r="D72" s="1493"/>
      <c r="E72" s="1493"/>
      <c r="F72" s="1493"/>
      <c r="G72" s="1493"/>
      <c r="H72" s="1493"/>
      <c r="I72" s="1493"/>
      <c r="J72" s="1493"/>
    </row>
    <row r="73" spans="1:10" ht="12.75">
      <c r="A73" s="1492" t="s">
        <v>240</v>
      </c>
      <c r="B73" s="1492"/>
      <c r="C73" s="1492"/>
      <c r="D73" s="1492"/>
      <c r="E73" s="1492"/>
      <c r="F73" s="1492"/>
      <c r="G73" s="1492"/>
      <c r="H73" s="1492"/>
      <c r="I73" s="1492"/>
      <c r="J73" s="1492"/>
    </row>
    <row r="74" spans="1:10" s="1" customFormat="1" ht="15.75" customHeight="1">
      <c r="A74" s="1474" t="str">
        <f>A5</f>
        <v>Referência: JANEIRO-OUTUBRO/2012; BIMESTRE: SETEMBRO/OUTUBRO/2012</v>
      </c>
      <c r="B74" s="1474"/>
      <c r="C74" s="1474"/>
      <c r="D74" s="1474"/>
      <c r="E74" s="1474"/>
      <c r="F74" s="1474"/>
      <c r="G74" s="210"/>
      <c r="H74" s="1475" t="s">
        <v>789</v>
      </c>
      <c r="I74" s="1475"/>
      <c r="J74" s="1475"/>
    </row>
    <row r="75" spans="1:11" ht="17.25" customHeight="1">
      <c r="A75" s="155" t="s">
        <v>677</v>
      </c>
      <c r="B75" s="212"/>
      <c r="C75" s="212"/>
      <c r="D75" s="212"/>
      <c r="E75" s="212"/>
      <c r="F75" s="212"/>
      <c r="G75" s="212"/>
      <c r="H75" s="1476" t="s">
        <v>790</v>
      </c>
      <c r="I75" s="1476"/>
      <c r="J75" s="1246" t="s">
        <v>662</v>
      </c>
      <c r="K75" s="907"/>
    </row>
    <row r="76" spans="1:10" s="135" customFormat="1" ht="11.25" customHeight="1">
      <c r="A76" s="1477" t="s">
        <v>285</v>
      </c>
      <c r="B76" s="237" t="s">
        <v>286</v>
      </c>
      <c r="C76" s="237" t="s">
        <v>286</v>
      </c>
      <c r="D76" s="1478" t="s">
        <v>287</v>
      </c>
      <c r="E76" s="1478"/>
      <c r="F76" s="1478"/>
      <c r="G76" s="1478"/>
      <c r="H76" s="1478"/>
      <c r="I76" s="1478"/>
      <c r="J76" s="1479"/>
    </row>
    <row r="77" spans="1:10" s="135" customFormat="1" ht="11.25" customHeight="1">
      <c r="A77" s="1477"/>
      <c r="B77" s="238" t="s">
        <v>288</v>
      </c>
      <c r="C77" s="238" t="s">
        <v>289</v>
      </c>
      <c r="D77" s="1480" t="s">
        <v>122</v>
      </c>
      <c r="E77" s="1481"/>
      <c r="F77" s="1480" t="s">
        <v>694</v>
      </c>
      <c r="G77" s="1484"/>
      <c r="H77" s="1481"/>
      <c r="I77" s="1480" t="s">
        <v>696</v>
      </c>
      <c r="J77" s="1488"/>
    </row>
    <row r="78" spans="1:10" s="135" customFormat="1" ht="11.25" customHeight="1">
      <c r="A78" s="1477"/>
      <c r="B78" s="240"/>
      <c r="C78" s="240"/>
      <c r="D78" s="1482"/>
      <c r="E78" s="1483"/>
      <c r="F78" s="1485"/>
      <c r="G78" s="1486"/>
      <c r="H78" s="1487"/>
      <c r="I78" s="1485"/>
      <c r="J78" s="1489"/>
    </row>
    <row r="79" spans="1:10" s="833" customFormat="1" ht="11.25" customHeight="1">
      <c r="A79" s="1054" t="s">
        <v>290</v>
      </c>
      <c r="B79" s="1057">
        <f>B80+B84</f>
        <v>31744890</v>
      </c>
      <c r="C79" s="1058">
        <f>C80+C84</f>
        <v>31744890</v>
      </c>
      <c r="D79" s="1466">
        <f>D80+D84</f>
        <v>-1985746.9499999993</v>
      </c>
      <c r="E79" s="1467"/>
      <c r="F79" s="1468">
        <f>F80+F84</f>
        <v>13672543.92</v>
      </c>
      <c r="G79" s="1469"/>
      <c r="H79" s="1469"/>
      <c r="I79" s="1470">
        <f>I80+I84</f>
        <v>45350853.3</v>
      </c>
      <c r="J79" s="1471"/>
    </row>
    <row r="80" spans="1:10" s="135" customFormat="1" ht="11.25" customHeight="1">
      <c r="A80" s="242" t="s">
        <v>291</v>
      </c>
      <c r="B80" s="1001">
        <f>B81+B82+B83</f>
        <v>0</v>
      </c>
      <c r="C80" s="1001">
        <f>C81+C82+C83</f>
        <v>0</v>
      </c>
      <c r="D80" s="1472">
        <v>0</v>
      </c>
      <c r="E80" s="1465"/>
      <c r="F80" s="1473"/>
      <c r="G80" s="1464"/>
      <c r="H80" s="1002"/>
      <c r="I80" s="1464"/>
      <c r="J80" s="1465"/>
    </row>
    <row r="81" spans="1:10" s="135" customFormat="1" ht="11.25" customHeight="1">
      <c r="A81" s="242" t="s">
        <v>292</v>
      </c>
      <c r="B81" s="1001"/>
      <c r="C81" s="1003"/>
      <c r="D81" s="1004"/>
      <c r="E81" s="1005"/>
      <c r="F81" s="1006"/>
      <c r="G81" s="1007"/>
      <c r="H81" s="1007"/>
      <c r="I81" s="1003"/>
      <c r="J81" s="1005"/>
    </row>
    <row r="82" spans="1:10" s="135" customFormat="1" ht="11.25" customHeight="1">
      <c r="A82" s="242" t="s">
        <v>293</v>
      </c>
      <c r="B82" s="1001"/>
      <c r="C82" s="1003"/>
      <c r="D82" s="1004"/>
      <c r="E82" s="1005"/>
      <c r="F82" s="1006"/>
      <c r="G82" s="1007"/>
      <c r="H82" s="1007"/>
      <c r="I82" s="1003"/>
      <c r="J82" s="1005"/>
    </row>
    <row r="83" spans="1:10" s="135" customFormat="1" ht="11.25" customHeight="1">
      <c r="A83" s="242" t="s">
        <v>294</v>
      </c>
      <c r="B83" s="1001"/>
      <c r="C83" s="1003"/>
      <c r="D83" s="1004"/>
      <c r="E83" s="1005"/>
      <c r="F83" s="1006"/>
      <c r="G83" s="1007"/>
      <c r="H83" s="1007"/>
      <c r="I83" s="1003"/>
      <c r="J83" s="1005"/>
    </row>
    <row r="84" spans="1:10" s="833" customFormat="1" ht="11.25" customHeight="1">
      <c r="A84" s="1054" t="s">
        <v>295</v>
      </c>
      <c r="B84" s="1055">
        <f>B85+B86+B87</f>
        <v>31744890</v>
      </c>
      <c r="C84" s="1056">
        <f>C85+C86+C87</f>
        <v>31744890</v>
      </c>
      <c r="D84" s="1455">
        <f>D85+D86+D87</f>
        <v>-1985746.9499999993</v>
      </c>
      <c r="E84" s="1456"/>
      <c r="F84" s="1457">
        <f>F85+F86+F87</f>
        <v>13672543.92</v>
      </c>
      <c r="G84" s="1458"/>
      <c r="H84" s="1458"/>
      <c r="I84" s="1459">
        <f>I85+I86+I87</f>
        <v>45350853.3</v>
      </c>
      <c r="J84" s="1456"/>
    </row>
    <row r="85" spans="1:10" s="135" customFormat="1" ht="11.25" customHeight="1">
      <c r="A85" s="242" t="s">
        <v>296</v>
      </c>
      <c r="B85" s="1001">
        <v>31744890</v>
      </c>
      <c r="C85" s="1003">
        <f>B85</f>
        <v>31744890</v>
      </c>
      <c r="D85" s="1460">
        <f>F85-'[21]Anexo V _ PREVID '!F85</f>
        <v>-1985746.9499999993</v>
      </c>
      <c r="E85" s="1461"/>
      <c r="F85" s="1462">
        <v>13672543.92</v>
      </c>
      <c r="G85" s="1463"/>
      <c r="H85" s="1463"/>
      <c r="I85" s="1464">
        <v>45350853.3</v>
      </c>
      <c r="J85" s="1465"/>
    </row>
    <row r="86" spans="1:10" s="135" customFormat="1" ht="11.25" customHeight="1">
      <c r="A86" s="242" t="s">
        <v>297</v>
      </c>
      <c r="B86" s="1001"/>
      <c r="C86" s="1003"/>
      <c r="D86" s="1004"/>
      <c r="E86" s="1005"/>
      <c r="F86" s="1006"/>
      <c r="G86" s="1007"/>
      <c r="H86" s="1007"/>
      <c r="I86" s="1445">
        <v>0</v>
      </c>
      <c r="J86" s="1446"/>
    </row>
    <row r="87" spans="1:10" s="135" customFormat="1" ht="11.25" customHeight="1">
      <c r="A87" s="243" t="s">
        <v>294</v>
      </c>
      <c r="B87" s="1008"/>
      <c r="C87" s="1009"/>
      <c r="D87" s="1010"/>
      <c r="E87" s="1011"/>
      <c r="F87" s="1012"/>
      <c r="G87" s="1013"/>
      <c r="H87" s="1013"/>
      <c r="I87" s="1447">
        <v>0</v>
      </c>
      <c r="J87" s="1448"/>
    </row>
    <row r="88" spans="1:10" s="135" customFormat="1" ht="11.25" customHeight="1">
      <c r="A88" s="209"/>
      <c r="B88" s="233"/>
      <c r="C88" s="234"/>
      <c r="D88" s="234"/>
      <c r="E88" s="234"/>
      <c r="F88" s="234"/>
      <c r="G88" s="234"/>
      <c r="H88" s="234"/>
      <c r="I88" s="234"/>
      <c r="J88" s="1254"/>
    </row>
    <row r="89" spans="1:10" s="135" customFormat="1" ht="15" customHeight="1">
      <c r="A89" s="1449" t="s">
        <v>298</v>
      </c>
      <c r="B89" s="1449"/>
      <c r="C89" s="1449"/>
      <c r="D89" s="1450" t="s">
        <v>299</v>
      </c>
      <c r="E89" s="1450"/>
      <c r="F89" s="1450"/>
      <c r="G89" s="1450"/>
      <c r="H89" s="1450"/>
      <c r="I89" s="1450"/>
      <c r="J89" s="1451"/>
    </row>
    <row r="90" spans="1:10" s="135" customFormat="1" ht="11.25" customHeight="1">
      <c r="A90" s="1452" t="s">
        <v>300</v>
      </c>
      <c r="B90" s="1452"/>
      <c r="C90" s="1452"/>
      <c r="D90" s="1453"/>
      <c r="E90" s="1453"/>
      <c r="F90" s="1453"/>
      <c r="G90" s="1453"/>
      <c r="H90" s="1453"/>
      <c r="I90" s="1453"/>
      <c r="J90" s="1454"/>
    </row>
    <row r="91" spans="1:10" ht="11.25">
      <c r="A91" s="211"/>
      <c r="B91" s="212"/>
      <c r="C91" s="212"/>
      <c r="D91" s="212"/>
      <c r="E91" s="212"/>
      <c r="F91" s="212"/>
      <c r="G91" s="212"/>
      <c r="H91" s="212"/>
      <c r="I91" s="212"/>
      <c r="J91" s="1255"/>
    </row>
    <row r="92" spans="1:10" s="135" customFormat="1" ht="11.25" customHeight="1">
      <c r="A92" s="1439" t="s">
        <v>301</v>
      </c>
      <c r="B92" s="1440" t="s">
        <v>302</v>
      </c>
      <c r="C92" s="1440"/>
      <c r="D92" s="1441" t="s">
        <v>303</v>
      </c>
      <c r="E92" s="1441"/>
      <c r="F92" s="1441"/>
      <c r="G92" s="1441"/>
      <c r="H92" s="1441"/>
      <c r="I92" s="1441"/>
      <c r="J92" s="1442"/>
    </row>
    <row r="93" spans="1:10" s="135" customFormat="1" ht="11.25" customHeight="1">
      <c r="A93" s="1439"/>
      <c r="B93" s="1440"/>
      <c r="C93" s="1440"/>
      <c r="D93" s="1443" t="s">
        <v>786</v>
      </c>
      <c r="E93" s="1443"/>
      <c r="F93" s="1443"/>
      <c r="G93" s="1443"/>
      <c r="H93" s="1441" t="s">
        <v>693</v>
      </c>
      <c r="I93" s="1441"/>
      <c r="J93" s="1442"/>
    </row>
    <row r="94" spans="1:10" s="135" customFormat="1" ht="11.25" customHeight="1">
      <c r="A94" s="244" t="s">
        <v>304</v>
      </c>
      <c r="B94" s="245"/>
      <c r="C94" s="246"/>
      <c r="D94" s="1444"/>
      <c r="E94" s="1444"/>
      <c r="F94" s="1444"/>
      <c r="G94" s="1444"/>
      <c r="H94" s="247"/>
      <c r="I94" s="247"/>
      <c r="J94" s="1256"/>
    </row>
    <row r="95" spans="1:10" s="135" customFormat="1" ht="11.25" customHeight="1">
      <c r="A95" s="244" t="s">
        <v>305</v>
      </c>
      <c r="B95" s="1427">
        <v>1817431.19</v>
      </c>
      <c r="C95" s="1427"/>
      <c r="D95" s="1435">
        <v>1636861.36</v>
      </c>
      <c r="E95" s="1435"/>
      <c r="F95" s="1435"/>
      <c r="G95" s="1435"/>
      <c r="H95" s="1436">
        <v>693128.92</v>
      </c>
      <c r="I95" s="1437"/>
      <c r="J95" s="1438"/>
    </row>
    <row r="96" spans="1:10" s="135" customFormat="1" ht="11.25" customHeight="1">
      <c r="A96" s="244" t="s">
        <v>91</v>
      </c>
      <c r="B96" s="1394">
        <v>68832788.71</v>
      </c>
      <c r="C96" s="1394"/>
      <c r="D96" s="1435">
        <v>63770815.06</v>
      </c>
      <c r="E96" s="1435"/>
      <c r="F96" s="1435"/>
      <c r="G96" s="1435"/>
      <c r="H96" s="1436">
        <v>70836739.59</v>
      </c>
      <c r="I96" s="1437"/>
      <c r="J96" s="1438"/>
    </row>
    <row r="97" spans="1:10" s="135" customFormat="1" ht="11.25" customHeight="1">
      <c r="A97" s="244" t="s">
        <v>306</v>
      </c>
      <c r="B97" s="248"/>
      <c r="C97" s="249"/>
      <c r="D97" s="250"/>
      <c r="E97" s="251"/>
      <c r="F97" s="1428"/>
      <c r="G97" s="1428"/>
      <c r="H97" s="901"/>
      <c r="I97" s="251"/>
      <c r="J97" s="1257"/>
    </row>
    <row r="98" spans="1:9" ht="11.25">
      <c r="A98" s="211"/>
      <c r="B98" s="212"/>
      <c r="C98" s="212"/>
      <c r="D98" s="212"/>
      <c r="E98" s="212"/>
      <c r="F98" s="212"/>
      <c r="G98" s="212"/>
      <c r="H98" s="212"/>
      <c r="I98" s="212"/>
    </row>
    <row r="99" spans="1:9" ht="11.25">
      <c r="A99" s="211"/>
      <c r="B99" s="212"/>
      <c r="C99" s="212"/>
      <c r="D99" s="212"/>
      <c r="E99" s="212"/>
      <c r="F99" s="212"/>
      <c r="G99" s="212"/>
      <c r="H99" s="212"/>
      <c r="I99" s="212"/>
    </row>
    <row r="100" spans="1:10" ht="17.25" customHeight="1">
      <c r="A100" s="1429" t="s">
        <v>307</v>
      </c>
      <c r="B100" s="1405" t="s">
        <v>242</v>
      </c>
      <c r="C100" s="1405" t="s">
        <v>243</v>
      </c>
      <c r="D100" s="1430" t="s">
        <v>244</v>
      </c>
      <c r="E100" s="1430"/>
      <c r="F100" s="1430"/>
      <c r="G100" s="1430"/>
      <c r="H100" s="1430"/>
      <c r="I100" s="1430"/>
      <c r="J100" s="1431"/>
    </row>
    <row r="101" spans="1:10" ht="17.25" customHeight="1">
      <c r="A101" s="1429"/>
      <c r="B101" s="1405"/>
      <c r="C101" s="1405"/>
      <c r="D101" s="1432" t="s">
        <v>122</v>
      </c>
      <c r="E101" s="1432"/>
      <c r="F101" s="1405" t="s">
        <v>123</v>
      </c>
      <c r="G101" s="1405"/>
      <c r="H101" s="1405"/>
      <c r="I101" s="1433" t="s">
        <v>696</v>
      </c>
      <c r="J101" s="1434"/>
    </row>
    <row r="102" spans="1:10" ht="13.5" customHeight="1">
      <c r="A102" s="216" t="s">
        <v>308</v>
      </c>
      <c r="B102" s="994">
        <f>B103+B115+B116</f>
        <v>69085622</v>
      </c>
      <c r="C102" s="994">
        <f>C103+C115+C116</f>
        <v>69085622</v>
      </c>
      <c r="D102" s="1388">
        <f>D103+D115+D116</f>
        <v>174939.88000000268</v>
      </c>
      <c r="E102" s="1388"/>
      <c r="F102" s="1394">
        <f>F103+F115+F116</f>
        <v>39267061.13</v>
      </c>
      <c r="G102" s="1394"/>
      <c r="H102" s="1394"/>
      <c r="I102" s="1399">
        <f>I103+I115+I116</f>
        <v>24965580.16</v>
      </c>
      <c r="J102" s="1400"/>
    </row>
    <row r="103" spans="1:10" ht="13.5" customHeight="1">
      <c r="A103" s="217" t="s">
        <v>222</v>
      </c>
      <c r="B103" s="996">
        <f>B104+B109+B113+B114</f>
        <v>69085622</v>
      </c>
      <c r="C103" s="996">
        <f>C104+C109+C113+C114</f>
        <v>69085622</v>
      </c>
      <c r="D103" s="1388">
        <f>D104+D109+D113+D114</f>
        <v>174939.88000000268</v>
      </c>
      <c r="E103" s="1388"/>
      <c r="F103" s="1394">
        <f>F104+F109+F113+F114</f>
        <v>39267061.13</v>
      </c>
      <c r="G103" s="1394"/>
      <c r="H103" s="1394"/>
      <c r="I103" s="1395">
        <f>I104+I109+I113+I114</f>
        <v>24965580.16</v>
      </c>
      <c r="J103" s="1396"/>
    </row>
    <row r="104" spans="1:10" s="231" customFormat="1" ht="13.5" customHeight="1">
      <c r="A104" s="1049" t="s">
        <v>246</v>
      </c>
      <c r="B104" s="999">
        <f>B105+B106+B107+B108</f>
        <v>69085622</v>
      </c>
      <c r="C104" s="999">
        <f>C105+C106+C107+C108</f>
        <v>69085622</v>
      </c>
      <c r="D104" s="1425">
        <f>D105+D106+D107+D108</f>
        <v>174939.88000000268</v>
      </c>
      <c r="E104" s="1425"/>
      <c r="F104" s="1389">
        <f>F105+F106+F107+F108</f>
        <v>39267061.13</v>
      </c>
      <c r="G104" s="1389"/>
      <c r="H104" s="1389"/>
      <c r="I104" s="1417">
        <f>I105+I106+I107+I108</f>
        <v>24965580.16</v>
      </c>
      <c r="J104" s="1426"/>
    </row>
    <row r="105" spans="1:10" ht="3.75" customHeight="1">
      <c r="A105" s="220"/>
      <c r="B105" s="997"/>
      <c r="C105" s="996"/>
      <c r="D105" s="1388"/>
      <c r="E105" s="1388"/>
      <c r="F105" s="1427"/>
      <c r="G105" s="1427"/>
      <c r="H105" s="1427"/>
      <c r="I105" s="1395"/>
      <c r="J105" s="1396"/>
    </row>
    <row r="106" spans="1:10" ht="13.5" customHeight="1">
      <c r="A106" s="220" t="s">
        <v>309</v>
      </c>
      <c r="B106" s="996">
        <v>69085622</v>
      </c>
      <c r="C106" s="996">
        <f>B106</f>
        <v>69085622</v>
      </c>
      <c r="D106" s="1387">
        <f>F106-'[21]Anexo V _ PREVID '!F106</f>
        <v>174939.88000000268</v>
      </c>
      <c r="E106" s="1388"/>
      <c r="F106" s="1422">
        <v>39267061.13</v>
      </c>
      <c r="G106" s="1422"/>
      <c r="H106" s="1422"/>
      <c r="I106" s="1423">
        <v>24965580.16</v>
      </c>
      <c r="J106" s="1424"/>
    </row>
    <row r="107" spans="1:10" ht="13.5" customHeight="1">
      <c r="A107" s="220" t="s">
        <v>310</v>
      </c>
      <c r="B107" s="996">
        <v>0</v>
      </c>
      <c r="C107" s="996">
        <f>B107</f>
        <v>0</v>
      </c>
      <c r="D107" s="1387">
        <f>F107-'[21]Anexo V _ PREVID '!F107</f>
        <v>0</v>
      </c>
      <c r="E107" s="1388"/>
      <c r="F107" s="1415"/>
      <c r="G107" s="1415"/>
      <c r="H107" s="1415"/>
      <c r="I107" s="1385">
        <v>0</v>
      </c>
      <c r="J107" s="1386"/>
    </row>
    <row r="108" spans="1:10" ht="13.5" customHeight="1">
      <c r="A108" s="220" t="s">
        <v>311</v>
      </c>
      <c r="B108" s="996">
        <v>0</v>
      </c>
      <c r="C108" s="996">
        <f>B108</f>
        <v>0</v>
      </c>
      <c r="D108" s="1387">
        <f>F108-'[21]Anexo V _ PREVID '!F108</f>
        <v>0</v>
      </c>
      <c r="E108" s="1388"/>
      <c r="F108" s="1415">
        <v>0</v>
      </c>
      <c r="G108" s="1415"/>
      <c r="H108" s="1415"/>
      <c r="I108" s="1385">
        <v>0</v>
      </c>
      <c r="J108" s="1386"/>
    </row>
    <row r="109" spans="1:10" s="231" customFormat="1" ht="13.5" customHeight="1">
      <c r="A109" s="1049" t="s">
        <v>250</v>
      </c>
      <c r="B109" s="999">
        <f>B110+B111+B112</f>
        <v>0</v>
      </c>
      <c r="C109" s="999">
        <f>C110+C111+C112</f>
        <v>0</v>
      </c>
      <c r="D109" s="1390">
        <f>D110+D111+D112</f>
        <v>0</v>
      </c>
      <c r="E109" s="1416"/>
      <c r="F109" s="1417">
        <f>F110+F111+F112</f>
        <v>0</v>
      </c>
      <c r="G109" s="1418"/>
      <c r="H109" s="1419"/>
      <c r="I109" s="1420">
        <f>I110+I111+I112</f>
        <v>0</v>
      </c>
      <c r="J109" s="1421"/>
    </row>
    <row r="110" spans="1:10" ht="13.5" customHeight="1">
      <c r="A110" s="220" t="s">
        <v>312</v>
      </c>
      <c r="B110" s="996"/>
      <c r="C110" s="996"/>
      <c r="D110" s="1399"/>
      <c r="E110" s="1414"/>
      <c r="F110" s="1406">
        <f>D110</f>
        <v>0</v>
      </c>
      <c r="G110" s="1406"/>
      <c r="H110" s="1406"/>
      <c r="I110" s="1407">
        <v>0</v>
      </c>
      <c r="J110" s="1408"/>
    </row>
    <row r="111" spans="1:10" ht="13.5" customHeight="1">
      <c r="A111" s="220" t="s">
        <v>313</v>
      </c>
      <c r="B111" s="996"/>
      <c r="C111" s="996"/>
      <c r="D111" s="1399"/>
      <c r="E111" s="1414"/>
      <c r="F111" s="1406">
        <f>D111</f>
        <v>0</v>
      </c>
      <c r="G111" s="1406"/>
      <c r="H111" s="1406"/>
      <c r="I111" s="1412"/>
      <c r="J111" s="1413"/>
    </row>
    <row r="112" spans="1:10" ht="13.5" customHeight="1">
      <c r="A112" s="220" t="s">
        <v>314</v>
      </c>
      <c r="B112" s="996"/>
      <c r="C112" s="996"/>
      <c r="D112" s="1399"/>
      <c r="E112" s="1414"/>
      <c r="F112" s="1406">
        <f>D112</f>
        <v>0</v>
      </c>
      <c r="G112" s="1406"/>
      <c r="H112" s="1406"/>
      <c r="I112" s="1407"/>
      <c r="J112" s="1408"/>
    </row>
    <row r="113" spans="1:10" ht="13.5" customHeight="1">
      <c r="A113" s="219" t="s">
        <v>315</v>
      </c>
      <c r="B113" s="996"/>
      <c r="C113" s="996">
        <v>0</v>
      </c>
      <c r="D113" s="1385">
        <v>0</v>
      </c>
      <c r="E113" s="1397"/>
      <c r="F113" s="1406">
        <f>D113</f>
        <v>0</v>
      </c>
      <c r="G113" s="1406"/>
      <c r="H113" s="1406"/>
      <c r="I113" s="1412">
        <v>0</v>
      </c>
      <c r="J113" s="1413"/>
    </row>
    <row r="114" spans="1:10" ht="13.5" customHeight="1">
      <c r="A114" s="219" t="s">
        <v>316</v>
      </c>
      <c r="B114" s="996"/>
      <c r="C114" s="996"/>
      <c r="D114" s="1388"/>
      <c r="E114" s="1388"/>
      <c r="F114" s="1406">
        <f>D114</f>
        <v>0</v>
      </c>
      <c r="G114" s="1406"/>
      <c r="H114" s="1406"/>
      <c r="I114" s="1407">
        <v>0</v>
      </c>
      <c r="J114" s="1408"/>
    </row>
    <row r="115" spans="1:10" ht="13.5" customHeight="1">
      <c r="A115" s="217" t="s">
        <v>223</v>
      </c>
      <c r="B115" s="996">
        <v>0</v>
      </c>
      <c r="C115" s="996">
        <v>0</v>
      </c>
      <c r="D115" s="1385">
        <v>0</v>
      </c>
      <c r="E115" s="1397"/>
      <c r="F115" s="1406">
        <v>0</v>
      </c>
      <c r="G115" s="1406"/>
      <c r="H115" s="1406"/>
      <c r="I115" s="1412">
        <v>0</v>
      </c>
      <c r="J115" s="1413"/>
    </row>
    <row r="116" spans="1:10" ht="13.5" customHeight="1">
      <c r="A116" s="217" t="s">
        <v>233</v>
      </c>
      <c r="B116" s="996"/>
      <c r="C116" s="996"/>
      <c r="D116" s="1388"/>
      <c r="E116" s="1388"/>
      <c r="F116" s="1406"/>
      <c r="G116" s="1406"/>
      <c r="H116" s="1406"/>
      <c r="I116" s="1407"/>
      <c r="J116" s="1408"/>
    </row>
    <row r="117" spans="1:10" s="231" customFormat="1" ht="13.5" customHeight="1">
      <c r="A117" s="1042" t="s">
        <v>317</v>
      </c>
      <c r="B117" s="999">
        <f>B118+B120</f>
        <v>0</v>
      </c>
      <c r="C117" s="999">
        <f>C118+C120</f>
        <v>0</v>
      </c>
      <c r="D117" s="1389">
        <f>D118+D120</f>
        <v>0</v>
      </c>
      <c r="E117" s="1389"/>
      <c r="F117" s="1409">
        <f>F118+F120</f>
        <v>0</v>
      </c>
      <c r="G117" s="1409"/>
      <c r="H117" s="1409"/>
      <c r="I117" s="1410">
        <f>I118+I120</f>
        <v>0</v>
      </c>
      <c r="J117" s="1411"/>
    </row>
    <row r="118" spans="1:10" ht="13.5" customHeight="1">
      <c r="A118" s="217" t="s">
        <v>318</v>
      </c>
      <c r="B118" s="996"/>
      <c r="C118" s="996"/>
      <c r="D118" s="1387">
        <f>F118-'[21]Anexo V _ PREVID '!F118</f>
        <v>0</v>
      </c>
      <c r="E118" s="1388"/>
      <c r="F118" s="1394"/>
      <c r="G118" s="1394"/>
      <c r="H118" s="1394"/>
      <c r="I118" s="1399"/>
      <c r="J118" s="1400"/>
    </row>
    <row r="119" spans="1:10" ht="13.5" customHeight="1">
      <c r="A119" s="217" t="s">
        <v>258</v>
      </c>
      <c r="B119" s="996"/>
      <c r="C119" s="996"/>
      <c r="D119" s="1387">
        <f>F119-'[21]Anexo V _ PREVID '!F119</f>
        <v>0</v>
      </c>
      <c r="E119" s="1388"/>
      <c r="F119" s="1394"/>
      <c r="G119" s="1394"/>
      <c r="H119" s="1394"/>
      <c r="I119" s="1399"/>
      <c r="J119" s="1400"/>
    </row>
    <row r="120" spans="1:10" ht="13.5" customHeight="1">
      <c r="A120" s="217" t="s">
        <v>259</v>
      </c>
      <c r="B120" s="996"/>
      <c r="C120" s="996"/>
      <c r="D120" s="1387">
        <f>F120-'[21]Anexo V _ PREVID '!F120</f>
        <v>0</v>
      </c>
      <c r="E120" s="1388"/>
      <c r="F120" s="1394"/>
      <c r="G120" s="1394"/>
      <c r="H120" s="1394"/>
      <c r="I120" s="1399"/>
      <c r="J120" s="1400"/>
    </row>
    <row r="121" spans="1:10" ht="13.5" customHeight="1">
      <c r="A121" s="223" t="s">
        <v>319</v>
      </c>
      <c r="B121" s="996"/>
      <c r="C121" s="996"/>
      <c r="D121" s="1385"/>
      <c r="E121" s="1397"/>
      <c r="F121" s="1394"/>
      <c r="G121" s="1394"/>
      <c r="H121" s="1394"/>
      <c r="I121" s="1258"/>
      <c r="J121" s="1259"/>
    </row>
    <row r="122" spans="1:10" s="231" customFormat="1" ht="15.75" customHeight="1">
      <c r="A122" s="230" t="s">
        <v>320</v>
      </c>
      <c r="B122" s="999">
        <f>B117+B102</f>
        <v>69085622</v>
      </c>
      <c r="C122" s="999">
        <f>C117+C102</f>
        <v>69085622</v>
      </c>
      <c r="D122" s="1389">
        <f>D102+D117</f>
        <v>174939.88000000268</v>
      </c>
      <c r="E122" s="1389"/>
      <c r="F122" s="1389">
        <f>F102+F117</f>
        <v>39267061.13</v>
      </c>
      <c r="G122" s="1389"/>
      <c r="H122" s="1389"/>
      <c r="I122" s="1390">
        <f>I102+I117</f>
        <v>24965580.16</v>
      </c>
      <c r="J122" s="1391"/>
    </row>
    <row r="123" spans="1:10" ht="13.5" customHeight="1">
      <c r="A123" s="252"/>
      <c r="B123" s="1014"/>
      <c r="C123" s="1014"/>
      <c r="D123" s="1015"/>
      <c r="E123" s="1015"/>
      <c r="F123" s="1015"/>
      <c r="G123" s="1015"/>
      <c r="H123" s="1015"/>
      <c r="I123" s="1015"/>
      <c r="J123" s="1260"/>
    </row>
    <row r="124" spans="1:10" ht="15" customHeight="1">
      <c r="A124" s="1401" t="s">
        <v>321</v>
      </c>
      <c r="B124" s="1402" t="s">
        <v>265</v>
      </c>
      <c r="C124" s="1402" t="s">
        <v>266</v>
      </c>
      <c r="D124" s="1403" t="s">
        <v>287</v>
      </c>
      <c r="E124" s="1403"/>
      <c r="F124" s="1403"/>
      <c r="G124" s="1403"/>
      <c r="H124" s="1403"/>
      <c r="I124" s="1403"/>
      <c r="J124" s="1404"/>
    </row>
    <row r="125" spans="1:10" ht="15" customHeight="1">
      <c r="A125" s="1401"/>
      <c r="B125" s="1402"/>
      <c r="C125" s="1402"/>
      <c r="D125" s="1405" t="s">
        <v>122</v>
      </c>
      <c r="E125" s="1405"/>
      <c r="F125" s="1405" t="str">
        <f>F101</f>
        <v>Até o Bimestre</v>
      </c>
      <c r="G125" s="1405"/>
      <c r="H125" s="1405"/>
      <c r="I125" s="1403" t="str">
        <f>I101</f>
        <v>Até o Bimestre 2011</v>
      </c>
      <c r="J125" s="1404"/>
    </row>
    <row r="126" spans="1:10" ht="15" customHeight="1">
      <c r="A126" s="222" t="s">
        <v>322</v>
      </c>
      <c r="B126" s="996">
        <f>B128+B127</f>
        <v>0</v>
      </c>
      <c r="C126" s="996">
        <f>C128+C127</f>
        <v>0</v>
      </c>
      <c r="D126" s="1388">
        <f>D127+D128</f>
        <v>0</v>
      </c>
      <c r="E126" s="1388"/>
      <c r="F126" s="1394">
        <f>F127+F128</f>
        <v>0</v>
      </c>
      <c r="G126" s="1394"/>
      <c r="H126" s="1394"/>
      <c r="I126" s="1395">
        <f>I127+I128</f>
        <v>0</v>
      </c>
      <c r="J126" s="1396"/>
    </row>
    <row r="127" spans="1:10" ht="15" customHeight="1">
      <c r="A127" s="226" t="s">
        <v>271</v>
      </c>
      <c r="B127" s="996">
        <v>0</v>
      </c>
      <c r="C127" s="996">
        <v>0</v>
      </c>
      <c r="D127" s="1387">
        <f>F127-'[21]Anexo V _ PREVID '!F127</f>
        <v>0</v>
      </c>
      <c r="E127" s="1388"/>
      <c r="F127" s="1394"/>
      <c r="G127" s="1394"/>
      <c r="H127" s="1394"/>
      <c r="I127" s="1399">
        <v>0</v>
      </c>
      <c r="J127" s="1400"/>
    </row>
    <row r="128" spans="1:10" ht="15" customHeight="1">
      <c r="A128" s="226" t="s">
        <v>272</v>
      </c>
      <c r="B128" s="996">
        <v>0</v>
      </c>
      <c r="C128" s="996">
        <v>0</v>
      </c>
      <c r="D128" s="1387">
        <f>F128-'[21]Anexo V _ PREVID '!F128</f>
        <v>0</v>
      </c>
      <c r="E128" s="1388"/>
      <c r="F128" s="1394"/>
      <c r="G128" s="1394"/>
      <c r="H128" s="1394"/>
      <c r="I128" s="1395">
        <v>0</v>
      </c>
      <c r="J128" s="1396"/>
    </row>
    <row r="129" spans="1:10" ht="15" customHeight="1">
      <c r="A129" s="226" t="s">
        <v>273</v>
      </c>
      <c r="B129" s="1183">
        <f>B130</f>
        <v>0</v>
      </c>
      <c r="C129" s="1183">
        <f>C130</f>
        <v>0</v>
      </c>
      <c r="D129" s="1385">
        <f>D130</f>
        <v>0</v>
      </c>
      <c r="E129" s="1397"/>
      <c r="F129" s="1385">
        <f>F130</f>
        <v>0</v>
      </c>
      <c r="G129" s="1398"/>
      <c r="H129" s="1397"/>
      <c r="I129" s="1385">
        <f>I130</f>
        <v>0</v>
      </c>
      <c r="J129" s="1386"/>
    </row>
    <row r="130" spans="1:10" ht="15" customHeight="1">
      <c r="A130" s="226" t="s">
        <v>323</v>
      </c>
      <c r="B130" s="1183">
        <f>B131+B132+B133</f>
        <v>0</v>
      </c>
      <c r="C130" s="1196"/>
      <c r="D130" s="1394">
        <f>D131+D132+D133</f>
        <v>0</v>
      </c>
      <c r="E130" s="1394"/>
      <c r="F130" s="1385">
        <f>F131+F132+F133</f>
        <v>0</v>
      </c>
      <c r="G130" s="1398"/>
      <c r="H130" s="1397"/>
      <c r="I130" s="1392">
        <v>0</v>
      </c>
      <c r="J130" s="1393"/>
    </row>
    <row r="131" spans="1:10" ht="15" customHeight="1">
      <c r="A131" s="226" t="s">
        <v>324</v>
      </c>
      <c r="B131" s="996"/>
      <c r="C131" s="996"/>
      <c r="D131" s="1387">
        <f>F131-'[21]Anexo V _ PREVID '!F131</f>
        <v>0</v>
      </c>
      <c r="E131" s="1388"/>
      <c r="F131" s="1385"/>
      <c r="G131" s="1385"/>
      <c r="H131" s="1016"/>
      <c r="I131" s="1385">
        <v>0</v>
      </c>
      <c r="J131" s="1386"/>
    </row>
    <row r="132" spans="1:10" ht="15" customHeight="1">
      <c r="A132" s="226" t="s">
        <v>325</v>
      </c>
      <c r="B132" s="996"/>
      <c r="C132" s="996"/>
      <c r="D132" s="1387">
        <f>F132-'[21]Anexo V _ PREVID '!F132</f>
        <v>0</v>
      </c>
      <c r="E132" s="1388"/>
      <c r="F132" s="1385"/>
      <c r="G132" s="1385"/>
      <c r="H132" s="1014"/>
      <c r="I132" s="1392">
        <v>0</v>
      </c>
      <c r="J132" s="1393"/>
    </row>
    <row r="133" spans="1:10" ht="15" customHeight="1">
      <c r="A133" s="226" t="s">
        <v>326</v>
      </c>
      <c r="B133" s="996"/>
      <c r="C133" s="996"/>
      <c r="D133" s="1387">
        <f>F133-'[21]Anexo V _ PREVID '!F133</f>
        <v>0</v>
      </c>
      <c r="E133" s="1388"/>
      <c r="F133" s="1385"/>
      <c r="G133" s="1385"/>
      <c r="H133" s="1016"/>
      <c r="I133" s="1385"/>
      <c r="J133" s="1386"/>
    </row>
    <row r="134" spans="1:10" ht="15" customHeight="1">
      <c r="A134" s="227" t="s">
        <v>327</v>
      </c>
      <c r="B134" s="999">
        <f>B126+B129</f>
        <v>0</v>
      </c>
      <c r="C134" s="999">
        <f>C126+C129</f>
        <v>0</v>
      </c>
      <c r="D134" s="1389">
        <f>D126+D129</f>
        <v>0</v>
      </c>
      <c r="E134" s="1389"/>
      <c r="F134" s="1389">
        <f>F126+F129</f>
        <v>0</v>
      </c>
      <c r="G134" s="1389"/>
      <c r="H134" s="1389"/>
      <c r="I134" s="1390">
        <f>I126+I129</f>
        <v>0</v>
      </c>
      <c r="J134" s="1391"/>
    </row>
    <row r="135" spans="1:10" ht="15.75" customHeight="1">
      <c r="A135" s="193" t="str">
        <f>'[17]Anexo VI _ RES NOM'!A43</f>
        <v>FONTE: SECRETARIA MUNICIPAL DA FAZENDA</v>
      </c>
      <c r="B135" s="194"/>
      <c r="C135" s="1017"/>
      <c r="D135" s="1018"/>
      <c r="E135" s="1018"/>
      <c r="F135" s="1018"/>
      <c r="G135" s="1018"/>
      <c r="H135" s="1018"/>
      <c r="I135" s="1018"/>
      <c r="J135" s="1018"/>
    </row>
    <row r="136" spans="1:10" ht="15.75" customHeight="1">
      <c r="A136" s="256"/>
      <c r="B136" s="255"/>
      <c r="C136" s="1017"/>
      <c r="D136" s="1018"/>
      <c r="E136" s="1018"/>
      <c r="F136" s="1018"/>
      <c r="G136" s="1018"/>
      <c r="H136" s="1018"/>
      <c r="I136" s="1018"/>
      <c r="J136" s="1018"/>
    </row>
    <row r="137" spans="1:10" ht="15.75" customHeight="1">
      <c r="A137" s="256" t="str">
        <f>'Anexo I_BAL ORC'!A101</f>
        <v>  São Luís, 26 de Novembro de 2012</v>
      </c>
      <c r="B137" s="247"/>
      <c r="C137" s="1017"/>
      <c r="D137" s="1018"/>
      <c r="E137" s="1018"/>
      <c r="F137" s="1018"/>
      <c r="G137" s="1018"/>
      <c r="H137" s="1018"/>
      <c r="I137" s="1018"/>
      <c r="J137" s="1018"/>
    </row>
    <row r="138" spans="1:10" ht="15.75" customHeight="1">
      <c r="A138" s="256"/>
      <c r="B138" s="247"/>
      <c r="C138" s="1017"/>
      <c r="D138" s="1018"/>
      <c r="E138" s="1018"/>
      <c r="F138" s="1018"/>
      <c r="G138" s="1018"/>
      <c r="H138" s="1018"/>
      <c r="I138" s="1018"/>
      <c r="J138" s="1018"/>
    </row>
    <row r="139" spans="1:9" ht="12.75">
      <c r="A139" s="257"/>
      <c r="B139" s="258"/>
      <c r="C139" s="259"/>
      <c r="D139" s="259"/>
      <c r="E139" s="259"/>
      <c r="F139" s="260"/>
      <c r="G139" s="148"/>
      <c r="H139" s="148"/>
      <c r="I139" s="148"/>
    </row>
  </sheetData>
  <sheetProtection/>
  <mergeCells count="300">
    <mergeCell ref="F129:H129"/>
    <mergeCell ref="A1:J1"/>
    <mergeCell ref="A2:J2"/>
    <mergeCell ref="A3:J3"/>
    <mergeCell ref="A4:J4"/>
    <mergeCell ref="A5:F5"/>
    <mergeCell ref="G7:H7"/>
    <mergeCell ref="I7:J7"/>
    <mergeCell ref="A8:A9"/>
    <mergeCell ref="B8:B9"/>
    <mergeCell ref="C8:C9"/>
    <mergeCell ref="D8:J8"/>
    <mergeCell ref="D9:E9"/>
    <mergeCell ref="F9:H9"/>
    <mergeCell ref="I9:J9"/>
    <mergeCell ref="D10:E10"/>
    <mergeCell ref="F10:H10"/>
    <mergeCell ref="I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G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F22:H22"/>
    <mergeCell ref="I22:J22"/>
    <mergeCell ref="D23:E23"/>
    <mergeCell ref="F23:H23"/>
    <mergeCell ref="I23:J23"/>
    <mergeCell ref="D24:E24"/>
    <mergeCell ref="F24:H24"/>
    <mergeCell ref="I24:J24"/>
    <mergeCell ref="D25:E25"/>
    <mergeCell ref="F25:H25"/>
    <mergeCell ref="I25:J25"/>
    <mergeCell ref="D26:E26"/>
    <mergeCell ref="F26:H26"/>
    <mergeCell ref="I26:J26"/>
    <mergeCell ref="D27:E27"/>
    <mergeCell ref="F27:H27"/>
    <mergeCell ref="I27:J27"/>
    <mergeCell ref="D28:E28"/>
    <mergeCell ref="F28:H28"/>
    <mergeCell ref="I28:J28"/>
    <mergeCell ref="D29:E29"/>
    <mergeCell ref="F29:H29"/>
    <mergeCell ref="I29:J29"/>
    <mergeCell ref="D30:E30"/>
    <mergeCell ref="F30:H30"/>
    <mergeCell ref="I30:J30"/>
    <mergeCell ref="D31:E31"/>
    <mergeCell ref="F31:H31"/>
    <mergeCell ref="I31:J31"/>
    <mergeCell ref="D32:E32"/>
    <mergeCell ref="F32:H32"/>
    <mergeCell ref="I32:J32"/>
    <mergeCell ref="D33:E33"/>
    <mergeCell ref="F33:H33"/>
    <mergeCell ref="I33:J33"/>
    <mergeCell ref="D34:E34"/>
    <mergeCell ref="F34:H34"/>
    <mergeCell ref="I34:J34"/>
    <mergeCell ref="D35:E35"/>
    <mergeCell ref="F35:H35"/>
    <mergeCell ref="I35:J35"/>
    <mergeCell ref="D36:E36"/>
    <mergeCell ref="F36:H36"/>
    <mergeCell ref="I36:J36"/>
    <mergeCell ref="D37:E37"/>
    <mergeCell ref="F37:H37"/>
    <mergeCell ref="I37:J37"/>
    <mergeCell ref="D38:E38"/>
    <mergeCell ref="F38:H38"/>
    <mergeCell ref="I38:J38"/>
    <mergeCell ref="A40:A43"/>
    <mergeCell ref="B40:B43"/>
    <mergeCell ref="C40:C43"/>
    <mergeCell ref="D40:J40"/>
    <mergeCell ref="D41:H41"/>
    <mergeCell ref="I41:J41"/>
    <mergeCell ref="D42:G42"/>
    <mergeCell ref="H42:H43"/>
    <mergeCell ref="I42:I43"/>
    <mergeCell ref="J42:J43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H61"/>
    <mergeCell ref="I61:J61"/>
    <mergeCell ref="D62:E62"/>
    <mergeCell ref="F62:H62"/>
    <mergeCell ref="I62:J62"/>
    <mergeCell ref="F63:G63"/>
    <mergeCell ref="A64:J64"/>
    <mergeCell ref="A70:J70"/>
    <mergeCell ref="A71:J71"/>
    <mergeCell ref="A72:J72"/>
    <mergeCell ref="A73:J73"/>
    <mergeCell ref="A74:F74"/>
    <mergeCell ref="H74:J74"/>
    <mergeCell ref="H75:I75"/>
    <mergeCell ref="A76:A78"/>
    <mergeCell ref="D76:J76"/>
    <mergeCell ref="D77:E78"/>
    <mergeCell ref="F77:H78"/>
    <mergeCell ref="I77:J78"/>
    <mergeCell ref="D79:E79"/>
    <mergeCell ref="F79:H79"/>
    <mergeCell ref="I79:J79"/>
    <mergeCell ref="D80:E80"/>
    <mergeCell ref="F80:G80"/>
    <mergeCell ref="I80:J80"/>
    <mergeCell ref="D84:E84"/>
    <mergeCell ref="F84:H84"/>
    <mergeCell ref="I84:J84"/>
    <mergeCell ref="D85:E85"/>
    <mergeCell ref="F85:H85"/>
    <mergeCell ref="I85:J85"/>
    <mergeCell ref="I86:J86"/>
    <mergeCell ref="I87:J87"/>
    <mergeCell ref="A89:C89"/>
    <mergeCell ref="D89:J89"/>
    <mergeCell ref="A90:C90"/>
    <mergeCell ref="D90:J90"/>
    <mergeCell ref="A92:A93"/>
    <mergeCell ref="B92:C93"/>
    <mergeCell ref="D92:J92"/>
    <mergeCell ref="D93:G93"/>
    <mergeCell ref="H93:J93"/>
    <mergeCell ref="D94:G94"/>
    <mergeCell ref="B95:C95"/>
    <mergeCell ref="D95:G95"/>
    <mergeCell ref="H95:J95"/>
    <mergeCell ref="B96:C96"/>
    <mergeCell ref="D96:G96"/>
    <mergeCell ref="H96:J96"/>
    <mergeCell ref="F97:G97"/>
    <mergeCell ref="A100:A101"/>
    <mergeCell ref="B100:B101"/>
    <mergeCell ref="C100:C101"/>
    <mergeCell ref="D100:J100"/>
    <mergeCell ref="D101:E101"/>
    <mergeCell ref="F101:H101"/>
    <mergeCell ref="I101:J101"/>
    <mergeCell ref="D102:E102"/>
    <mergeCell ref="F102:H102"/>
    <mergeCell ref="I102:J102"/>
    <mergeCell ref="D103:E103"/>
    <mergeCell ref="F103:H103"/>
    <mergeCell ref="I103:J103"/>
    <mergeCell ref="D104:E104"/>
    <mergeCell ref="F104:H104"/>
    <mergeCell ref="I104:J104"/>
    <mergeCell ref="D105:E105"/>
    <mergeCell ref="F105:H105"/>
    <mergeCell ref="I105:J105"/>
    <mergeCell ref="D106:E106"/>
    <mergeCell ref="F106:H106"/>
    <mergeCell ref="I106:J106"/>
    <mergeCell ref="D107:E107"/>
    <mergeCell ref="F107:H107"/>
    <mergeCell ref="I107:J107"/>
    <mergeCell ref="D108:E108"/>
    <mergeCell ref="F108:H108"/>
    <mergeCell ref="I108:J108"/>
    <mergeCell ref="D109:E109"/>
    <mergeCell ref="F109:H109"/>
    <mergeCell ref="I109:J109"/>
    <mergeCell ref="D110:E110"/>
    <mergeCell ref="F110:H110"/>
    <mergeCell ref="I110:J110"/>
    <mergeCell ref="D111:E111"/>
    <mergeCell ref="F111:H111"/>
    <mergeCell ref="I111:J111"/>
    <mergeCell ref="D112:E112"/>
    <mergeCell ref="F112:H112"/>
    <mergeCell ref="I112:J112"/>
    <mergeCell ref="D113:E113"/>
    <mergeCell ref="F113:H113"/>
    <mergeCell ref="I113:J113"/>
    <mergeCell ref="D114:E114"/>
    <mergeCell ref="F114:H114"/>
    <mergeCell ref="I114:J114"/>
    <mergeCell ref="D115:E115"/>
    <mergeCell ref="F115:H115"/>
    <mergeCell ref="I115:J115"/>
    <mergeCell ref="D116:E116"/>
    <mergeCell ref="F116:H116"/>
    <mergeCell ref="I116:J116"/>
    <mergeCell ref="D117:E117"/>
    <mergeCell ref="F117:H117"/>
    <mergeCell ref="I117:J117"/>
    <mergeCell ref="D118:E118"/>
    <mergeCell ref="F118:H118"/>
    <mergeCell ref="I118:J118"/>
    <mergeCell ref="D119:E119"/>
    <mergeCell ref="F119:H119"/>
    <mergeCell ref="I119:J119"/>
    <mergeCell ref="D120:E120"/>
    <mergeCell ref="F120:H120"/>
    <mergeCell ref="I120:J120"/>
    <mergeCell ref="F121:H121"/>
    <mergeCell ref="D122:E122"/>
    <mergeCell ref="F122:H122"/>
    <mergeCell ref="I122:J122"/>
    <mergeCell ref="D121:E121"/>
    <mergeCell ref="A124:A125"/>
    <mergeCell ref="B124:B125"/>
    <mergeCell ref="C124:C125"/>
    <mergeCell ref="D124:J124"/>
    <mergeCell ref="D125:E125"/>
    <mergeCell ref="F125:H125"/>
    <mergeCell ref="I125:J125"/>
    <mergeCell ref="D126:E126"/>
    <mergeCell ref="F126:H126"/>
    <mergeCell ref="I126:J126"/>
    <mergeCell ref="D127:E127"/>
    <mergeCell ref="F127:H127"/>
    <mergeCell ref="I127:J127"/>
    <mergeCell ref="I132:J132"/>
    <mergeCell ref="D133:E133"/>
    <mergeCell ref="D128:E128"/>
    <mergeCell ref="F128:H128"/>
    <mergeCell ref="I128:J128"/>
    <mergeCell ref="D129:E129"/>
    <mergeCell ref="I129:J129"/>
    <mergeCell ref="D130:E130"/>
    <mergeCell ref="I130:J130"/>
    <mergeCell ref="F130:H130"/>
    <mergeCell ref="F133:G133"/>
    <mergeCell ref="I133:J133"/>
    <mergeCell ref="D131:E131"/>
    <mergeCell ref="F131:G131"/>
    <mergeCell ref="I131:J131"/>
    <mergeCell ref="D134:E134"/>
    <mergeCell ref="F134:H134"/>
    <mergeCell ref="I134:J134"/>
    <mergeCell ref="D132:E132"/>
    <mergeCell ref="F132:G132"/>
  </mergeCells>
  <printOptions horizontalCentered="1"/>
  <pageMargins left="0.2902777777777778" right="0.27569444444444446" top="0.6298611111111111" bottom="0.39375" header="0.5118055555555556" footer="0.5118055555555556"/>
  <pageSetup fitToHeight="0" fitToWidth="1" horizontalDpi="300" verticalDpi="300" orientation="portrait" paperSize="9" scale="65" r:id="rId2"/>
  <rowBreaks count="1" manualBreakCount="1">
    <brk id="68" max="255" man="1"/>
  </rowBreaks>
  <ignoredErrors>
    <ignoredError sqref="C57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L59"/>
  <sheetViews>
    <sheetView showGridLines="0" zoomScaleSheetLayoutView="100" zoomScalePageLayoutView="0" workbookViewId="0" topLeftCell="A1">
      <selection activeCell="J13" sqref="J13"/>
    </sheetView>
  </sheetViews>
  <sheetFormatPr defaultColWidth="7.8515625" defaultRowHeight="12.75"/>
  <cols>
    <col min="1" max="1" width="47.8515625" style="135" customWidth="1"/>
    <col min="2" max="2" width="10.28125" style="135" customWidth="1"/>
    <col min="3" max="3" width="14.421875" style="135" customWidth="1"/>
    <col min="4" max="4" width="14.57421875" style="209" customWidth="1"/>
    <col min="5" max="5" width="9.140625" style="209" customWidth="1"/>
    <col min="6" max="6" width="13.7109375" style="135" customWidth="1"/>
    <col min="7" max="7" width="9.421875" style="135" customWidth="1"/>
    <col min="8" max="8" width="0" style="136" hidden="1" customWidth="1"/>
    <col min="9" max="9" width="7.8515625" style="136" customWidth="1"/>
    <col min="10" max="10" width="13.57421875" style="136" bestFit="1" customWidth="1"/>
    <col min="11" max="11" width="10.421875" style="136" bestFit="1" customWidth="1"/>
    <col min="12" max="16384" width="7.8515625" style="136" customWidth="1"/>
  </cols>
  <sheetData>
    <row r="1" spans="1:9" ht="12.75" customHeight="1">
      <c r="A1" s="1492" t="s">
        <v>210</v>
      </c>
      <c r="B1" s="1492"/>
      <c r="C1" s="1492"/>
      <c r="D1" s="1492"/>
      <c r="E1" s="1492"/>
      <c r="F1" s="1492"/>
      <c r="G1" s="1492"/>
      <c r="H1" s="1492"/>
      <c r="I1" s="1492"/>
    </row>
    <row r="2" spans="1:9" ht="12.75" customHeight="1">
      <c r="A2" s="1492" t="s">
        <v>0</v>
      </c>
      <c r="B2" s="1492"/>
      <c r="C2" s="1492"/>
      <c r="D2" s="1492"/>
      <c r="E2" s="1492"/>
      <c r="F2" s="1492"/>
      <c r="G2" s="1492"/>
      <c r="H2" s="1492"/>
      <c r="I2" s="1492"/>
    </row>
    <row r="3" spans="1:9" ht="12.75" customHeight="1">
      <c r="A3" s="555" t="s">
        <v>328</v>
      </c>
      <c r="B3" s="556"/>
      <c r="C3" s="556"/>
      <c r="D3" s="556"/>
      <c r="E3" s="195" t="str">
        <f>'Anexo III _ RCL'!P5</f>
        <v>Publicação: Diário Oficial do Município nº 227</v>
      </c>
      <c r="F3" s="888"/>
      <c r="G3" s="888"/>
      <c r="H3" s="263"/>
      <c r="I3" s="263"/>
    </row>
    <row r="4" spans="1:9" ht="12.75" customHeight="1">
      <c r="A4" s="557" t="s">
        <v>240</v>
      </c>
      <c r="B4" s="558"/>
      <c r="C4" s="558"/>
      <c r="D4" s="558"/>
      <c r="E4" s="265" t="str">
        <f>'Anexo III _ RCL'!P6</f>
        <v>Data: 26/11/2012</v>
      </c>
      <c r="F4" s="266"/>
      <c r="G4" s="266"/>
      <c r="H4" s="264"/>
      <c r="I4" s="264"/>
    </row>
    <row r="5" spans="1:12" s="270" customFormat="1" ht="15.75" customHeight="1">
      <c r="A5" s="1374" t="str">
        <f>'Anexo I_BAL ORC'!A4:F4</f>
        <v>Referência: JANEIRO-OUTUBRO/2012; BIMESTRE: SETEMBRO/OUTUBRO/2012</v>
      </c>
      <c r="B5" s="1374"/>
      <c r="C5" s="1374"/>
      <c r="D5" s="1374"/>
      <c r="E5" s="1374"/>
      <c r="F5" s="1374"/>
      <c r="G5" s="559"/>
      <c r="H5" s="267"/>
      <c r="I5" s="267"/>
      <c r="J5" s="267"/>
      <c r="K5" s="268"/>
      <c r="L5" s="269"/>
    </row>
    <row r="6" ht="11.25">
      <c r="F6" s="464"/>
    </row>
    <row r="7" spans="1:7" ht="11.25">
      <c r="A7" s="135" t="s">
        <v>678</v>
      </c>
      <c r="D7" s="551"/>
      <c r="G7" s="490"/>
    </row>
    <row r="8" spans="1:7" ht="19.5" customHeight="1">
      <c r="A8" s="1530" t="s">
        <v>212</v>
      </c>
      <c r="B8" s="214"/>
      <c r="C8" s="470"/>
      <c r="D8" s="1430" t="s">
        <v>329</v>
      </c>
      <c r="E8" s="1430"/>
      <c r="F8" s="470"/>
      <c r="G8" s="470"/>
    </row>
    <row r="9" spans="1:7" ht="19.5" customHeight="1">
      <c r="A9" s="1530"/>
      <c r="B9" s="1531" t="s">
        <v>695</v>
      </c>
      <c r="C9" s="1531"/>
      <c r="D9" s="1532" t="s">
        <v>705</v>
      </c>
      <c r="E9" s="1532"/>
      <c r="F9" s="1533" t="s">
        <v>122</v>
      </c>
      <c r="G9" s="1533"/>
    </row>
    <row r="10" spans="1:7" ht="19.5" customHeight="1">
      <c r="A10" s="1530"/>
      <c r="B10" s="1504" t="s">
        <v>125</v>
      </c>
      <c r="C10" s="1504"/>
      <c r="D10" s="1534" t="s">
        <v>126</v>
      </c>
      <c r="E10" s="1534"/>
      <c r="F10" s="1535" t="s">
        <v>330</v>
      </c>
      <c r="G10" s="1535"/>
    </row>
    <row r="11" spans="1:7" ht="19.5" customHeight="1">
      <c r="A11" s="561" t="s">
        <v>331</v>
      </c>
      <c r="B11" s="1536">
        <v>40190018.56</v>
      </c>
      <c r="C11" s="1536"/>
      <c r="D11" s="1536">
        <v>77520786.36</v>
      </c>
      <c r="E11" s="1536"/>
      <c r="F11" s="1536">
        <v>64917667.97</v>
      </c>
      <c r="G11" s="1536"/>
    </row>
    <row r="12" spans="1:7" ht="19.5" customHeight="1">
      <c r="A12" s="561" t="s">
        <v>234</v>
      </c>
      <c r="B12" s="1536">
        <f>B13+B14-B15</f>
        <v>-36595090.60000005</v>
      </c>
      <c r="C12" s="1536"/>
      <c r="D12" s="1536">
        <f>D13+D14-D15</f>
        <v>261138592.98999995</v>
      </c>
      <c r="E12" s="1536"/>
      <c r="F12" s="1536">
        <f>F13+F14-F15</f>
        <v>251879971.76</v>
      </c>
      <c r="G12" s="1536"/>
    </row>
    <row r="13" spans="1:10" ht="19.5" customHeight="1">
      <c r="A13" s="382" t="s">
        <v>595</v>
      </c>
      <c r="B13" s="1536">
        <v>248548230.92</v>
      </c>
      <c r="C13" s="1536"/>
      <c r="D13" s="1536">
        <v>340219714.72</v>
      </c>
      <c r="E13" s="1536"/>
      <c r="F13" s="1536">
        <v>327074483.49</v>
      </c>
      <c r="G13" s="1536"/>
      <c r="J13" s="902"/>
    </row>
    <row r="14" spans="1:10" ht="19.5" customHeight="1">
      <c r="A14" s="382" t="s">
        <v>332</v>
      </c>
      <c r="B14" s="1537">
        <v>0</v>
      </c>
      <c r="C14" s="1537"/>
      <c r="D14" s="1537">
        <v>0</v>
      </c>
      <c r="E14" s="1537"/>
      <c r="F14" s="1537">
        <v>0</v>
      </c>
      <c r="G14" s="1538"/>
      <c r="J14" s="824"/>
    </row>
    <row r="15" spans="1:7" ht="19.5" customHeight="1">
      <c r="A15" s="382" t="s">
        <v>596</v>
      </c>
      <c r="B15" s="1536">
        <v>285143321.52000004</v>
      </c>
      <c r="C15" s="1536"/>
      <c r="D15" s="1536">
        <v>79081121.7300001</v>
      </c>
      <c r="E15" s="1536"/>
      <c r="F15" s="1536">
        <f>'Anexo IX _ RP'!F60</f>
        <v>75194511.73000003</v>
      </c>
      <c r="G15" s="1536"/>
    </row>
    <row r="16" spans="1:7" s="231" customFormat="1" ht="19.5" customHeight="1">
      <c r="A16" s="561" t="s">
        <v>333</v>
      </c>
      <c r="B16" s="1536">
        <f>B11-B12</f>
        <v>76785109.16000006</v>
      </c>
      <c r="C16" s="1536"/>
      <c r="D16" s="1536">
        <f>D11-D12</f>
        <v>-183617806.62999994</v>
      </c>
      <c r="E16" s="1536"/>
      <c r="F16" s="1536">
        <f>F11-F12</f>
        <v>-186962303.79</v>
      </c>
      <c r="G16" s="1536"/>
    </row>
    <row r="17" spans="1:7" ht="19.5" customHeight="1">
      <c r="A17" s="561" t="s">
        <v>334</v>
      </c>
      <c r="B17" s="1537">
        <v>0</v>
      </c>
      <c r="C17" s="1537"/>
      <c r="D17" s="1537">
        <v>0</v>
      </c>
      <c r="E17" s="1537"/>
      <c r="F17" s="1537">
        <v>0</v>
      </c>
      <c r="G17" s="1538"/>
    </row>
    <row r="18" spans="1:7" ht="19.5" customHeight="1">
      <c r="A18" s="561" t="s">
        <v>335</v>
      </c>
      <c r="B18" s="1536"/>
      <c r="C18" s="1536"/>
      <c r="D18" s="1536"/>
      <c r="E18" s="1536"/>
      <c r="F18" s="1536"/>
      <c r="G18" s="1536"/>
    </row>
    <row r="19" spans="1:7" s="271" customFormat="1" ht="19.5" customHeight="1">
      <c r="A19" s="562" t="s">
        <v>336</v>
      </c>
      <c r="B19" s="1539">
        <f>B16+B17-B18</f>
        <v>76785109.16000006</v>
      </c>
      <c r="C19" s="1539"/>
      <c r="D19" s="1539">
        <f>D16+D17-D18</f>
        <v>-183617806.62999994</v>
      </c>
      <c r="E19" s="1539"/>
      <c r="F19" s="1539">
        <f>F16+F17-F18</f>
        <v>-186962303.79</v>
      </c>
      <c r="G19" s="1539"/>
    </row>
    <row r="20" spans="1:7" ht="11.25" customHeight="1">
      <c r="A20" s="278"/>
      <c r="B20" s="278"/>
      <c r="C20" s="278"/>
      <c r="D20" s="278"/>
      <c r="E20" s="278"/>
      <c r="F20" s="278"/>
      <c r="G20" s="278"/>
    </row>
    <row r="21" spans="1:7" ht="19.5" customHeight="1">
      <c r="A21" s="1530" t="s">
        <v>212</v>
      </c>
      <c r="B21" s="1450" t="s">
        <v>303</v>
      </c>
      <c r="C21" s="1450"/>
      <c r="D21" s="1450"/>
      <c r="E21" s="1450"/>
      <c r="F21" s="1450"/>
      <c r="G21" s="1450"/>
    </row>
    <row r="22" spans="1:7" ht="19.5" customHeight="1">
      <c r="A22" s="1530"/>
      <c r="B22" s="1540" t="s">
        <v>122</v>
      </c>
      <c r="C22" s="1540"/>
      <c r="D22" s="1540"/>
      <c r="E22" s="469"/>
      <c r="F22" s="367" t="s">
        <v>123</v>
      </c>
      <c r="G22" s="367"/>
    </row>
    <row r="23" spans="1:7" ht="19.5" customHeight="1">
      <c r="A23" s="1530"/>
      <c r="B23" s="1541" t="s">
        <v>337</v>
      </c>
      <c r="C23" s="1541"/>
      <c r="D23" s="1541"/>
      <c r="E23" s="563"/>
      <c r="F23" s="564" t="s">
        <v>338</v>
      </c>
      <c r="G23" s="564"/>
    </row>
    <row r="24" spans="1:11" ht="19.5" customHeight="1">
      <c r="A24" s="371" t="s">
        <v>339</v>
      </c>
      <c r="B24" s="1542">
        <f>F19-D19</f>
        <v>-3344497.160000056</v>
      </c>
      <c r="C24" s="1542"/>
      <c r="D24" s="1542"/>
      <c r="E24" s="1543">
        <f>F19-B19</f>
        <v>-263747412.95000005</v>
      </c>
      <c r="F24" s="1543"/>
      <c r="G24" s="1543"/>
      <c r="K24" s="824"/>
    </row>
    <row r="25" ht="9.75" customHeight="1">
      <c r="A25" s="278"/>
    </row>
    <row r="26" spans="1:7" ht="19.5" customHeight="1">
      <c r="A26" s="1544" t="s">
        <v>340</v>
      </c>
      <c r="B26" s="1544"/>
      <c r="C26" s="1544"/>
      <c r="D26" s="1544"/>
      <c r="E26" s="1403" t="s">
        <v>300</v>
      </c>
      <c r="F26" s="1403"/>
      <c r="G26" s="1403"/>
    </row>
    <row r="27" spans="1:7" ht="19.5" customHeight="1">
      <c r="A27" s="1544"/>
      <c r="B27" s="1544"/>
      <c r="C27" s="1544"/>
      <c r="D27" s="1544"/>
      <c r="E27" s="1403"/>
      <c r="F27" s="1403"/>
      <c r="G27" s="1403"/>
    </row>
    <row r="28" spans="1:7" ht="19.5" customHeight="1">
      <c r="A28" s="273" t="s">
        <v>341</v>
      </c>
      <c r="B28" s="565"/>
      <c r="C28" s="565"/>
      <c r="D28" s="565"/>
      <c r="E28" s="1545">
        <v>-10101000</v>
      </c>
      <c r="F28" s="1545"/>
      <c r="G28" s="1545"/>
    </row>
    <row r="29" spans="1:7" ht="10.5" customHeight="1">
      <c r="A29" s="274"/>
      <c r="B29" s="276"/>
      <c r="C29" s="276"/>
      <c r="D29" s="566"/>
      <c r="E29" s="383"/>
      <c r="F29" s="221"/>
      <c r="G29" s="221"/>
    </row>
    <row r="30" spans="1:8" ht="19.5" customHeight="1">
      <c r="A30" s="275"/>
      <c r="B30" s="1546" t="s">
        <v>342</v>
      </c>
      <c r="C30" s="1547"/>
      <c r="D30" s="1547"/>
      <c r="E30" s="1547"/>
      <c r="F30" s="1547"/>
      <c r="G30" s="1547"/>
      <c r="H30" s="1547"/>
    </row>
    <row r="31" spans="1:7" ht="19.5" customHeight="1">
      <c r="A31" s="276" t="s">
        <v>212</v>
      </c>
      <c r="B31" s="1548" t="s">
        <v>695</v>
      </c>
      <c r="C31" s="1548"/>
      <c r="D31" s="1548" t="s">
        <v>705</v>
      </c>
      <c r="E31" s="1548"/>
      <c r="F31" s="1549" t="s">
        <v>706</v>
      </c>
      <c r="G31" s="1549"/>
    </row>
    <row r="32" spans="1:7" ht="19.5" customHeight="1">
      <c r="A32" s="277"/>
      <c r="B32" s="1433" t="s">
        <v>125</v>
      </c>
      <c r="C32" s="1433"/>
      <c r="D32" s="1433" t="s">
        <v>126</v>
      </c>
      <c r="E32" s="1433"/>
      <c r="F32" s="1535" t="s">
        <v>330</v>
      </c>
      <c r="G32" s="1535"/>
    </row>
    <row r="33" spans="1:7" ht="19.5" customHeight="1">
      <c r="A33" s="278" t="s">
        <v>668</v>
      </c>
      <c r="B33" s="1550">
        <f>B34+B35</f>
        <v>71583859.7</v>
      </c>
      <c r="C33" s="1550"/>
      <c r="D33" s="1550">
        <f>D34+D35</f>
        <v>71583859.7</v>
      </c>
      <c r="E33" s="1550"/>
      <c r="F33" s="1550">
        <f>F34+F35</f>
        <v>71583859.7</v>
      </c>
      <c r="G33" s="1550"/>
    </row>
    <row r="34" spans="1:7" ht="19.5" customHeight="1">
      <c r="A34" s="278" t="s">
        <v>665</v>
      </c>
      <c r="B34" s="1550">
        <v>71583859.7</v>
      </c>
      <c r="C34" s="1550"/>
      <c r="D34" s="1550">
        <v>71583859.7</v>
      </c>
      <c r="E34" s="1550"/>
      <c r="F34" s="1550">
        <v>71583859.7</v>
      </c>
      <c r="G34" s="1550"/>
    </row>
    <row r="35" spans="1:7" ht="19.5" customHeight="1">
      <c r="A35" s="278" t="s">
        <v>666</v>
      </c>
      <c r="B35" s="1550">
        <v>0</v>
      </c>
      <c r="C35" s="1550"/>
      <c r="D35" s="1550">
        <v>0</v>
      </c>
      <c r="E35" s="1550"/>
      <c r="F35" s="1550">
        <v>0</v>
      </c>
      <c r="G35" s="1550"/>
    </row>
    <row r="36" spans="1:7" s="231" customFormat="1" ht="19.5" customHeight="1">
      <c r="A36" s="833" t="s">
        <v>669</v>
      </c>
      <c r="B36" s="1551">
        <f>B37+B38+B39-B40</f>
        <v>73343208.47999999</v>
      </c>
      <c r="C36" s="1551"/>
      <c r="D36" s="1551">
        <f>D37+D38+D39-D40</f>
        <v>95481388.5</v>
      </c>
      <c r="E36" s="1551"/>
      <c r="F36" s="1551">
        <f>F37+F38+F39-F40</f>
        <v>65156589.09</v>
      </c>
      <c r="G36" s="1551"/>
    </row>
    <row r="37" spans="1:7" ht="19.5" customHeight="1">
      <c r="A37" s="135" t="s">
        <v>664</v>
      </c>
      <c r="B37" s="1550">
        <v>420198.85</v>
      </c>
      <c r="C37" s="1550"/>
      <c r="D37" s="1550">
        <v>11393821.64</v>
      </c>
      <c r="E37" s="1552"/>
      <c r="F37" s="1550">
        <v>1636861.36</v>
      </c>
      <c r="G37" s="1552"/>
    </row>
    <row r="38" spans="1:7" ht="19.5" customHeight="1">
      <c r="A38" s="135" t="s">
        <v>343</v>
      </c>
      <c r="B38" s="1550">
        <v>73166251.17</v>
      </c>
      <c r="C38" s="1550"/>
      <c r="D38" s="1550">
        <v>84322268.81</v>
      </c>
      <c r="E38" s="1550"/>
      <c r="F38" s="1550">
        <v>63770815.06</v>
      </c>
      <c r="G38" s="1550"/>
    </row>
    <row r="39" spans="1:7" ht="19.5" customHeight="1">
      <c r="A39" s="135" t="s">
        <v>667</v>
      </c>
      <c r="B39" s="1550">
        <v>0</v>
      </c>
      <c r="C39" s="1550"/>
      <c r="D39" s="1550">
        <v>0</v>
      </c>
      <c r="E39" s="1550"/>
      <c r="F39" s="1550"/>
      <c r="G39" s="1550"/>
    </row>
    <row r="40" spans="1:7" ht="19.5" customHeight="1">
      <c r="A40" s="278" t="s">
        <v>344</v>
      </c>
      <c r="B40" s="1550">
        <v>243241.54</v>
      </c>
      <c r="C40" s="1550"/>
      <c r="D40" s="1550">
        <v>234701.95</v>
      </c>
      <c r="E40" s="1550"/>
      <c r="F40" s="1550">
        <v>251087.33</v>
      </c>
      <c r="G40" s="1550"/>
    </row>
    <row r="41" spans="1:7" ht="19.5" customHeight="1">
      <c r="A41" s="135" t="s">
        <v>671</v>
      </c>
      <c r="B41" s="1550">
        <f>B33-B36</f>
        <v>-1759348.7799999863</v>
      </c>
      <c r="C41" s="1550"/>
      <c r="D41" s="1550">
        <f>D33-D36</f>
        <v>-23897528.799999997</v>
      </c>
      <c r="E41" s="1550"/>
      <c r="F41" s="1550">
        <f>F33-F36</f>
        <v>6427270.609999999</v>
      </c>
      <c r="G41" s="1550"/>
    </row>
    <row r="42" spans="1:7" ht="19.5" customHeight="1">
      <c r="A42" s="135" t="s">
        <v>670</v>
      </c>
      <c r="B42" s="1550">
        <v>0</v>
      </c>
      <c r="C42" s="1550"/>
      <c r="D42" s="1550">
        <v>0</v>
      </c>
      <c r="E42" s="1550"/>
      <c r="F42" s="1550">
        <v>0</v>
      </c>
      <c r="G42" s="1550"/>
    </row>
    <row r="43" spans="1:7" s="341" customFormat="1" ht="19.5" customHeight="1">
      <c r="A43" s="1184" t="s">
        <v>672</v>
      </c>
      <c r="B43" s="1554">
        <f>B41-B42</f>
        <v>-1759348.7799999863</v>
      </c>
      <c r="C43" s="1554"/>
      <c r="D43" s="1554">
        <f>D41-D42</f>
        <v>-23897528.799999997</v>
      </c>
      <c r="E43" s="1554"/>
      <c r="F43" s="1554">
        <f>F41-F42</f>
        <v>6427270.609999999</v>
      </c>
      <c r="G43" s="1554"/>
    </row>
    <row r="44" spans="1:7" ht="19.5" customHeight="1">
      <c r="A44" s="265" t="str">
        <f>'Anexo III _ RCL'!A35</f>
        <v>FONTE: SECRETARIA MUNICIPAL DA FAZENDA</v>
      </c>
      <c r="B44" s="253"/>
      <c r="C44" s="253"/>
      <c r="D44" s="253"/>
      <c r="E44" s="253"/>
      <c r="F44" s="253"/>
      <c r="G44" s="253"/>
    </row>
    <row r="45" spans="1:7" ht="19.5" customHeight="1">
      <c r="A45" s="278" t="str">
        <f>'Anexo III _ RCL'!A36</f>
        <v>  São Luís, 26 de Novembro de 2012</v>
      </c>
      <c r="B45" s="253"/>
      <c r="C45" s="253"/>
      <c r="D45" s="253"/>
      <c r="E45" s="253"/>
      <c r="F45" s="253"/>
      <c r="G45" s="253"/>
    </row>
    <row r="46" spans="1:8" ht="12.75">
      <c r="A46" s="177"/>
      <c r="B46" s="177"/>
      <c r="C46" s="178"/>
      <c r="D46" s="178"/>
      <c r="E46" s="178"/>
      <c r="F46" s="183"/>
      <c r="G46" s="567"/>
      <c r="H46" s="279"/>
    </row>
    <row r="47" spans="1:8" ht="12.75">
      <c r="A47" s="177"/>
      <c r="B47" s="177"/>
      <c r="C47" s="178"/>
      <c r="D47" s="178"/>
      <c r="E47" s="178"/>
      <c r="F47" s="183"/>
      <c r="G47" s="567"/>
      <c r="H47" s="279"/>
    </row>
    <row r="48" spans="1:8" s="135" customFormat="1" ht="12.75">
      <c r="A48" s="126"/>
      <c r="B48" s="126"/>
      <c r="C48" s="126"/>
      <c r="D48" s="126"/>
      <c r="E48" s="126"/>
      <c r="F48" s="126"/>
      <c r="G48" s="126"/>
      <c r="H48" s="126"/>
    </row>
    <row r="49" spans="1:8" s="135" customFormat="1" ht="12.75">
      <c r="A49" s="280"/>
      <c r="B49" s="122"/>
      <c r="C49" s="122"/>
      <c r="D49" s="1553"/>
      <c r="E49" s="1553"/>
      <c r="F49" s="1553"/>
      <c r="H49" s="203"/>
    </row>
    <row r="50" spans="4:5" ht="11.25">
      <c r="D50" s="135"/>
      <c r="E50" s="135"/>
    </row>
    <row r="51" spans="4:5" ht="11.25">
      <c r="D51" s="135"/>
      <c r="E51" s="135"/>
    </row>
    <row r="52" spans="4:5" ht="11.25">
      <c r="D52" s="135"/>
      <c r="E52" s="135"/>
    </row>
    <row r="53" spans="4:5" ht="11.25">
      <c r="D53" s="135"/>
      <c r="E53" s="135"/>
    </row>
    <row r="54" spans="4:5" ht="11.25">
      <c r="D54" s="135"/>
      <c r="E54" s="135"/>
    </row>
    <row r="55" spans="4:5" ht="11.25">
      <c r="D55" s="135"/>
      <c r="E55" s="135"/>
    </row>
    <row r="56" spans="4:5" ht="11.25">
      <c r="D56" s="135"/>
      <c r="E56" s="135"/>
    </row>
    <row r="57" spans="4:5" ht="11.25">
      <c r="D57" s="135"/>
      <c r="E57" s="135"/>
    </row>
    <row r="58" spans="4:5" ht="11.25">
      <c r="D58" s="135"/>
      <c r="E58" s="135"/>
    </row>
    <row r="59" spans="4:5" ht="11.25">
      <c r="D59" s="135"/>
      <c r="E59" s="135"/>
    </row>
  </sheetData>
  <sheetProtection/>
  <mergeCells count="88">
    <mergeCell ref="B41:C41"/>
    <mergeCell ref="D41:E41"/>
    <mergeCell ref="F41:G41"/>
    <mergeCell ref="D49:F49"/>
    <mergeCell ref="B42:C42"/>
    <mergeCell ref="D42:E42"/>
    <mergeCell ref="F42:G42"/>
    <mergeCell ref="B43:C43"/>
    <mergeCell ref="D43:E43"/>
    <mergeCell ref="F43:G43"/>
    <mergeCell ref="B39:C39"/>
    <mergeCell ref="D39:E39"/>
    <mergeCell ref="F39:G39"/>
    <mergeCell ref="B40:C40"/>
    <mergeCell ref="D40:E40"/>
    <mergeCell ref="F40:G40"/>
    <mergeCell ref="F34:G34"/>
    <mergeCell ref="F35:G35"/>
    <mergeCell ref="B37:C37"/>
    <mergeCell ref="D37:E37"/>
    <mergeCell ref="F37:G37"/>
    <mergeCell ref="B38:C38"/>
    <mergeCell ref="D38:E38"/>
    <mergeCell ref="F38:G38"/>
    <mergeCell ref="B33:C33"/>
    <mergeCell ref="D33:E33"/>
    <mergeCell ref="F33:G33"/>
    <mergeCell ref="B36:C36"/>
    <mergeCell ref="D36:E36"/>
    <mergeCell ref="F36:G36"/>
    <mergeCell ref="B34:C34"/>
    <mergeCell ref="B35:C35"/>
    <mergeCell ref="D34:E34"/>
    <mergeCell ref="D35:E35"/>
    <mergeCell ref="B31:C31"/>
    <mergeCell ref="D31:E31"/>
    <mergeCell ref="F31:G31"/>
    <mergeCell ref="B32:C32"/>
    <mergeCell ref="D32:E32"/>
    <mergeCell ref="F32:G32"/>
    <mergeCell ref="B24:D24"/>
    <mergeCell ref="E24:G24"/>
    <mergeCell ref="A26:D27"/>
    <mergeCell ref="E26:G27"/>
    <mergeCell ref="E28:G28"/>
    <mergeCell ref="B30:H30"/>
    <mergeCell ref="B19:C19"/>
    <mergeCell ref="D19:E19"/>
    <mergeCell ref="F19:G19"/>
    <mergeCell ref="A21:A23"/>
    <mergeCell ref="B21:G21"/>
    <mergeCell ref="B22:D22"/>
    <mergeCell ref="B23:D23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F10:G10"/>
    <mergeCell ref="B11:C11"/>
    <mergeCell ref="D11:E11"/>
    <mergeCell ref="F11:G11"/>
    <mergeCell ref="B12:C12"/>
    <mergeCell ref="D12:E12"/>
    <mergeCell ref="F12:G12"/>
    <mergeCell ref="A1:I1"/>
    <mergeCell ref="A2:I2"/>
    <mergeCell ref="A5:F5"/>
    <mergeCell ref="A8:A10"/>
    <mergeCell ref="D8:E8"/>
    <mergeCell ref="B9:C9"/>
    <mergeCell ref="D9:E9"/>
    <mergeCell ref="F9:G9"/>
    <mergeCell ref="B10:C10"/>
    <mergeCell ref="D10:E10"/>
  </mergeCells>
  <printOptions horizontalCentered="1"/>
  <pageMargins left="0.5902777777777778" right="0.5902777777777778" top="0.5902777777777778" bottom="0.39305555555555555" header="0.5118055555555556" footer="0.19652777777777777"/>
  <pageSetup fitToHeight="1" fitToWidth="1" horizontalDpi="300" verticalDpi="300" orientation="portrait" paperSize="9" scale="77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EX71"/>
  <sheetViews>
    <sheetView showGridLines="0" zoomScaleSheetLayoutView="90" zoomScalePageLayoutView="0" workbookViewId="0" topLeftCell="A7">
      <selection activeCell="D13" sqref="D13"/>
    </sheetView>
  </sheetViews>
  <sheetFormatPr defaultColWidth="7.8515625" defaultRowHeight="15" customHeight="1"/>
  <cols>
    <col min="1" max="1" width="49.57421875" style="282" customWidth="1"/>
    <col min="2" max="2" width="17.421875" style="282" customWidth="1"/>
    <col min="3" max="3" width="17.7109375" style="282" customWidth="1"/>
    <col min="4" max="4" width="17.8515625" style="283" customWidth="1"/>
    <col min="5" max="5" width="17.421875" style="283" customWidth="1"/>
    <col min="6" max="14" width="7.8515625" style="282" hidden="1" customWidth="1"/>
    <col min="15" max="15" width="12.7109375" style="305" customWidth="1"/>
    <col min="16" max="16" width="12.7109375" style="282" customWidth="1"/>
    <col min="17" max="19" width="7.8515625" style="282" hidden="1" customWidth="1"/>
    <col min="20" max="20" width="18.7109375" style="282" bestFit="1" customWidth="1"/>
    <col min="21" max="22" width="17.7109375" style="282" bestFit="1" customWidth="1"/>
    <col min="23" max="23" width="10.57421875" style="282" bestFit="1" customWidth="1"/>
    <col min="24" max="16384" width="7.8515625" style="282" customWidth="1"/>
  </cols>
  <sheetData>
    <row r="1" spans="1:15" s="285" customFormat="1" ht="15" customHeight="1">
      <c r="A1" s="1559" t="s">
        <v>345</v>
      </c>
      <c r="B1" s="1559"/>
      <c r="C1" s="1559"/>
      <c r="D1" s="1559"/>
      <c r="E1" s="1559"/>
      <c r="O1" s="340"/>
    </row>
    <row r="2" spans="1:15" s="285" customFormat="1" ht="15" customHeight="1">
      <c r="A2" s="1559" t="s">
        <v>0</v>
      </c>
      <c r="B2" s="1559"/>
      <c r="C2" s="1559"/>
      <c r="D2" s="1559"/>
      <c r="E2" s="1559"/>
      <c r="O2" s="340"/>
    </row>
    <row r="3" spans="1:15" s="285" customFormat="1" ht="15" customHeight="1">
      <c r="A3" s="286" t="s">
        <v>346</v>
      </c>
      <c r="B3" s="287"/>
      <c r="C3" s="287"/>
      <c r="D3" s="863" t="str">
        <f>'Anexo VI _ RES NOM'!E3</f>
        <v>Publicação: Diário Oficial do Município nº 227</v>
      </c>
      <c r="E3" s="195"/>
      <c r="O3" s="340"/>
    </row>
    <row r="4" spans="1:15" s="285" customFormat="1" ht="15" customHeight="1">
      <c r="A4" s="284" t="s">
        <v>2</v>
      </c>
      <c r="B4" s="288"/>
      <c r="C4" s="288"/>
      <c r="D4" s="266" t="str">
        <f>'Anexo VI _ RES NOM'!E4</f>
        <v>Data: 26/11/2012</v>
      </c>
      <c r="E4" s="195"/>
      <c r="O4" s="340"/>
    </row>
    <row r="5" spans="1:15" s="270" customFormat="1" ht="15.75" customHeight="1">
      <c r="A5" s="289" t="str">
        <f>'Anexo VI _ RES NOM'!A5</f>
        <v>Referência: JANEIRO-OUTUBRO/2012; BIMESTRE: SETEMBRO/OUTUBRO/2012</v>
      </c>
      <c r="B5" s="290"/>
      <c r="C5" s="290"/>
      <c r="D5" s="290"/>
      <c r="E5" s="1261"/>
      <c r="O5" s="582"/>
    </row>
    <row r="6" spans="1:5" ht="15" customHeight="1">
      <c r="A6" s="291"/>
      <c r="B6" s="291"/>
      <c r="C6" s="291"/>
      <c r="D6" s="292"/>
      <c r="E6" s="1262"/>
    </row>
    <row r="7" spans="1:5" ht="15" customHeight="1">
      <c r="A7" s="293" t="s">
        <v>679</v>
      </c>
      <c r="B7" s="294"/>
      <c r="C7" s="294"/>
      <c r="D7" s="568"/>
      <c r="E7" s="1263"/>
    </row>
    <row r="8" spans="1:22" ht="15" customHeight="1">
      <c r="A8" s="1560" t="s">
        <v>347</v>
      </c>
      <c r="B8" s="1561" t="s">
        <v>348</v>
      </c>
      <c r="C8" s="1562" t="s">
        <v>244</v>
      </c>
      <c r="D8" s="1562"/>
      <c r="E8" s="1563"/>
      <c r="T8" s="703"/>
      <c r="V8" s="705"/>
    </row>
    <row r="9" spans="1:21" ht="15" customHeight="1">
      <c r="A9" s="1560"/>
      <c r="B9" s="1561"/>
      <c r="C9" s="295" t="s">
        <v>122</v>
      </c>
      <c r="D9" s="295" t="s">
        <v>123</v>
      </c>
      <c r="E9" s="1264" t="s">
        <v>696</v>
      </c>
      <c r="U9" s="703"/>
    </row>
    <row r="10" spans="1:21" ht="15" customHeight="1">
      <c r="A10" s="296" t="s">
        <v>349</v>
      </c>
      <c r="B10" s="297">
        <f>B11+B17+B20+B23+B28</f>
        <v>2324368386.49</v>
      </c>
      <c r="C10" s="310">
        <f>C11+C17+C20+C23+C28</f>
        <v>268456137.1700001</v>
      </c>
      <c r="D10" s="298">
        <f>D11+D17+D20+D23+D28</f>
        <v>1461493538.5800002</v>
      </c>
      <c r="E10" s="1265">
        <f>E11+E17+E20+E23+E28</f>
        <v>1351194056.3799999</v>
      </c>
      <c r="T10" s="706"/>
      <c r="U10" s="705"/>
    </row>
    <row r="11" spans="1:20" ht="15" customHeight="1">
      <c r="A11" s="697" t="s">
        <v>697</v>
      </c>
      <c r="B11" s="297">
        <f>B12+B13+B14+B15+B16</f>
        <v>689832515</v>
      </c>
      <c r="C11" s="310">
        <f>C12+C13+C14+C15+C16</f>
        <v>79763582.4</v>
      </c>
      <c r="D11" s="311">
        <f>D12+D13+D14+D15+D16</f>
        <v>416807837.3899999</v>
      </c>
      <c r="E11" s="1266">
        <f>E12+E13+E14+E15+E16</f>
        <v>345193180.3</v>
      </c>
      <c r="P11" s="703"/>
      <c r="T11" s="703"/>
    </row>
    <row r="12" spans="1:154" s="477" customFormat="1" ht="15" customHeight="1">
      <c r="A12" s="299" t="s">
        <v>350</v>
      </c>
      <c r="B12" s="300">
        <f>'Anexo III _ RCL'!Q12</f>
        <v>116059302</v>
      </c>
      <c r="C12" s="301">
        <f>D12-'[21]Anexo VII _ RES PRIM'!D12</f>
        <v>3952460.370000001</v>
      </c>
      <c r="D12" s="302">
        <v>35036230.78</v>
      </c>
      <c r="E12" s="1267">
        <v>23898799.85</v>
      </c>
      <c r="O12" s="305"/>
      <c r="P12" s="1080"/>
      <c r="Q12" s="1079"/>
      <c r="R12" s="1079"/>
      <c r="S12" s="1079"/>
      <c r="T12" s="1080"/>
      <c r="U12" s="1080"/>
      <c r="V12" s="1080"/>
      <c r="W12" s="1079"/>
      <c r="X12" s="1079"/>
      <c r="Y12" s="1079"/>
      <c r="Z12" s="1079"/>
      <c r="AA12" s="1079"/>
      <c r="AB12" s="1079"/>
      <c r="AC12" s="1079"/>
      <c r="AD12" s="1079"/>
      <c r="AE12" s="1079"/>
      <c r="AF12" s="1079"/>
      <c r="AG12" s="1079"/>
      <c r="AH12" s="1079"/>
      <c r="AI12" s="1079"/>
      <c r="AJ12" s="1079"/>
      <c r="AK12" s="1079"/>
      <c r="AL12" s="1079"/>
      <c r="AM12" s="1079"/>
      <c r="AN12" s="1079"/>
      <c r="AO12" s="1079"/>
      <c r="AP12" s="1079"/>
      <c r="AQ12" s="1079"/>
      <c r="AR12" s="1079"/>
      <c r="AS12" s="1079"/>
      <c r="AT12" s="1079"/>
      <c r="AU12" s="1079"/>
      <c r="AV12" s="1079"/>
      <c r="AW12" s="1079"/>
      <c r="AX12" s="1079"/>
      <c r="AY12" s="1079"/>
      <c r="AZ12" s="1079"/>
      <c r="BA12" s="1079"/>
      <c r="BB12" s="1079"/>
      <c r="BC12" s="1079"/>
      <c r="BD12" s="1079"/>
      <c r="BE12" s="1079"/>
      <c r="BF12" s="1079"/>
      <c r="BG12" s="1079"/>
      <c r="BH12" s="1079"/>
      <c r="BI12" s="1079"/>
      <c r="BJ12" s="1079"/>
      <c r="BK12" s="1079"/>
      <c r="BL12" s="1079"/>
      <c r="BM12" s="1079"/>
      <c r="BN12" s="1079"/>
      <c r="BO12" s="1079"/>
      <c r="BP12" s="1079"/>
      <c r="BQ12" s="1079"/>
      <c r="BR12" s="1079"/>
      <c r="BS12" s="1079"/>
      <c r="BT12" s="1079"/>
      <c r="BU12" s="1079"/>
      <c r="BV12" s="1079"/>
      <c r="BW12" s="1079"/>
      <c r="BX12" s="1079"/>
      <c r="BY12" s="1079"/>
      <c r="BZ12" s="1079"/>
      <c r="CA12" s="1079"/>
      <c r="CB12" s="1079"/>
      <c r="CC12" s="1079"/>
      <c r="CD12" s="1079"/>
      <c r="CE12" s="1079"/>
      <c r="CF12" s="1079"/>
      <c r="CG12" s="1079"/>
      <c r="CH12" s="1079"/>
      <c r="CI12" s="1079"/>
      <c r="CJ12" s="1079"/>
      <c r="CK12" s="1079"/>
      <c r="CL12" s="1079"/>
      <c r="CM12" s="1079"/>
      <c r="CN12" s="1079"/>
      <c r="CO12" s="1079"/>
      <c r="CP12" s="1079"/>
      <c r="CQ12" s="1079"/>
      <c r="CR12" s="1079"/>
      <c r="CS12" s="1079"/>
      <c r="CT12" s="1079"/>
      <c r="CU12" s="1079"/>
      <c r="CV12" s="1079"/>
      <c r="CW12" s="1079"/>
      <c r="CX12" s="1079"/>
      <c r="CY12" s="1079"/>
      <c r="CZ12" s="1079"/>
      <c r="DA12" s="1079"/>
      <c r="DB12" s="1079"/>
      <c r="DC12" s="1079"/>
      <c r="DD12" s="1079"/>
      <c r="DE12" s="1079"/>
      <c r="DF12" s="1079"/>
      <c r="DG12" s="1079"/>
      <c r="DH12" s="1079"/>
      <c r="DI12" s="1079"/>
      <c r="DJ12" s="1079"/>
      <c r="DK12" s="1079"/>
      <c r="DL12" s="1079"/>
      <c r="DM12" s="1079"/>
      <c r="DN12" s="1079"/>
      <c r="DO12" s="1079"/>
      <c r="DP12" s="1079"/>
      <c r="DQ12" s="1079"/>
      <c r="DR12" s="1079"/>
      <c r="DS12" s="1079"/>
      <c r="DT12" s="1079"/>
      <c r="DU12" s="1079"/>
      <c r="DV12" s="1079"/>
      <c r="DW12" s="1079"/>
      <c r="DX12" s="1079"/>
      <c r="DY12" s="1079"/>
      <c r="DZ12" s="1079"/>
      <c r="EA12" s="1079"/>
      <c r="EB12" s="1079"/>
      <c r="EC12" s="1079"/>
      <c r="ED12" s="1079"/>
      <c r="EE12" s="1079"/>
      <c r="EF12" s="1079"/>
      <c r="EG12" s="1079"/>
      <c r="EH12" s="1079"/>
      <c r="EI12" s="1079"/>
      <c r="EJ12" s="1079"/>
      <c r="EK12" s="1079"/>
      <c r="EL12" s="1079"/>
      <c r="EM12" s="1079"/>
      <c r="EN12" s="1079"/>
      <c r="EO12" s="1079"/>
      <c r="EP12" s="1079"/>
      <c r="EQ12" s="1079"/>
      <c r="ER12" s="1079"/>
      <c r="ES12" s="1079"/>
      <c r="ET12" s="1079"/>
      <c r="EU12" s="1079"/>
      <c r="EV12" s="1079"/>
      <c r="EW12" s="1079"/>
      <c r="EX12" s="1079"/>
    </row>
    <row r="13" spans="1:154" s="477" customFormat="1" ht="15" customHeight="1">
      <c r="A13" s="299" t="s">
        <v>351</v>
      </c>
      <c r="B13" s="300">
        <f>'Anexo III _ RCL'!Q13</f>
        <v>470662902</v>
      </c>
      <c r="C13" s="301">
        <f>D13-'[21]Anexo VII _ RES PRIM'!D13</f>
        <v>64812497.94</v>
      </c>
      <c r="D13" s="302">
        <v>323591742.49</v>
      </c>
      <c r="E13" s="1267">
        <v>267841286.45</v>
      </c>
      <c r="O13" s="305"/>
      <c r="P13" s="1079"/>
      <c r="Q13" s="1079"/>
      <c r="R13" s="1079"/>
      <c r="S13" s="1079"/>
      <c r="T13" s="1080"/>
      <c r="U13" s="1079"/>
      <c r="V13" s="1079"/>
      <c r="W13" s="1079"/>
      <c r="X13" s="1079"/>
      <c r="Y13" s="1079"/>
      <c r="Z13" s="1079"/>
      <c r="AA13" s="1079"/>
      <c r="AB13" s="1079"/>
      <c r="AC13" s="1079"/>
      <c r="AD13" s="1079"/>
      <c r="AE13" s="1079"/>
      <c r="AF13" s="1079"/>
      <c r="AG13" s="1079"/>
      <c r="AH13" s="1079"/>
      <c r="AI13" s="1079"/>
      <c r="AJ13" s="1079"/>
      <c r="AK13" s="1079"/>
      <c r="AL13" s="1079"/>
      <c r="AM13" s="1079"/>
      <c r="AN13" s="1079"/>
      <c r="AO13" s="1079"/>
      <c r="AP13" s="1079"/>
      <c r="AQ13" s="1079"/>
      <c r="AR13" s="1079"/>
      <c r="AS13" s="1079"/>
      <c r="AT13" s="1079"/>
      <c r="AU13" s="1079"/>
      <c r="AV13" s="1079"/>
      <c r="AW13" s="1079"/>
      <c r="AX13" s="1079"/>
      <c r="AY13" s="1079"/>
      <c r="AZ13" s="1079"/>
      <c r="BA13" s="1079"/>
      <c r="BB13" s="1079"/>
      <c r="BC13" s="1079"/>
      <c r="BD13" s="1079"/>
      <c r="BE13" s="1079"/>
      <c r="BF13" s="1079"/>
      <c r="BG13" s="1079"/>
      <c r="BH13" s="1079"/>
      <c r="BI13" s="1079"/>
      <c r="BJ13" s="1079"/>
      <c r="BK13" s="1079"/>
      <c r="BL13" s="1079"/>
      <c r="BM13" s="1079"/>
      <c r="BN13" s="1079"/>
      <c r="BO13" s="1079"/>
      <c r="BP13" s="1079"/>
      <c r="BQ13" s="1079"/>
      <c r="BR13" s="1079"/>
      <c r="BS13" s="1079"/>
      <c r="BT13" s="1079"/>
      <c r="BU13" s="1079"/>
      <c r="BV13" s="1079"/>
      <c r="BW13" s="1079"/>
      <c r="BX13" s="1079"/>
      <c r="BY13" s="1079"/>
      <c r="BZ13" s="1079"/>
      <c r="CA13" s="1079"/>
      <c r="CB13" s="1079"/>
      <c r="CC13" s="1079"/>
      <c r="CD13" s="1079"/>
      <c r="CE13" s="1079"/>
      <c r="CF13" s="1079"/>
      <c r="CG13" s="1079"/>
      <c r="CH13" s="1079"/>
      <c r="CI13" s="1079"/>
      <c r="CJ13" s="1079"/>
      <c r="CK13" s="1079"/>
      <c r="CL13" s="1079"/>
      <c r="CM13" s="1079"/>
      <c r="CN13" s="1079"/>
      <c r="CO13" s="1079"/>
      <c r="CP13" s="1079"/>
      <c r="CQ13" s="1079"/>
      <c r="CR13" s="1079"/>
      <c r="CS13" s="1079"/>
      <c r="CT13" s="1079"/>
      <c r="CU13" s="1079"/>
      <c r="CV13" s="1079"/>
      <c r="CW13" s="1079"/>
      <c r="CX13" s="1079"/>
      <c r="CY13" s="1079"/>
      <c r="CZ13" s="1079"/>
      <c r="DA13" s="1079"/>
      <c r="DB13" s="1079"/>
      <c r="DC13" s="1079"/>
      <c r="DD13" s="1079"/>
      <c r="DE13" s="1079"/>
      <c r="DF13" s="1079"/>
      <c r="DG13" s="1079"/>
      <c r="DH13" s="1079"/>
      <c r="DI13" s="1079"/>
      <c r="DJ13" s="1079"/>
      <c r="DK13" s="1079"/>
      <c r="DL13" s="1079"/>
      <c r="DM13" s="1079"/>
      <c r="DN13" s="1079"/>
      <c r="DO13" s="1079"/>
      <c r="DP13" s="1079"/>
      <c r="DQ13" s="1079"/>
      <c r="DR13" s="1079"/>
      <c r="DS13" s="1079"/>
      <c r="DT13" s="1079"/>
      <c r="DU13" s="1079"/>
      <c r="DV13" s="1079"/>
      <c r="DW13" s="1079"/>
      <c r="DX13" s="1079"/>
      <c r="DY13" s="1079"/>
      <c r="DZ13" s="1079"/>
      <c r="EA13" s="1079"/>
      <c r="EB13" s="1079"/>
      <c r="EC13" s="1079"/>
      <c r="ED13" s="1079"/>
      <c r="EE13" s="1079"/>
      <c r="EF13" s="1079"/>
      <c r="EG13" s="1079"/>
      <c r="EH13" s="1079"/>
      <c r="EI13" s="1079"/>
      <c r="EJ13" s="1079"/>
      <c r="EK13" s="1079"/>
      <c r="EL13" s="1079"/>
      <c r="EM13" s="1079"/>
      <c r="EN13" s="1079"/>
      <c r="EO13" s="1079"/>
      <c r="EP13" s="1079"/>
      <c r="EQ13" s="1079"/>
      <c r="ER13" s="1079"/>
      <c r="ES13" s="1079"/>
      <c r="ET13" s="1079"/>
      <c r="EU13" s="1079"/>
      <c r="EV13" s="1079"/>
      <c r="EW13" s="1079"/>
      <c r="EX13" s="1079"/>
    </row>
    <row r="14" spans="1:154" s="477" customFormat="1" ht="15" customHeight="1">
      <c r="A14" s="299" t="s">
        <v>352</v>
      </c>
      <c r="B14" s="300">
        <f>'Anexo III _ RCL'!Q14</f>
        <v>32496605</v>
      </c>
      <c r="C14" s="301">
        <f>D14-'[21]Anexo VII _ RES PRIM'!D14</f>
        <v>3390526.3599999994</v>
      </c>
      <c r="D14" s="302">
        <v>15062658.84</v>
      </c>
      <c r="E14" s="1267">
        <v>12469929</v>
      </c>
      <c r="O14" s="305"/>
      <c r="P14" s="1079"/>
      <c r="Q14" s="1079"/>
      <c r="R14" s="1079"/>
      <c r="S14" s="1079"/>
      <c r="T14" s="1081"/>
      <c r="U14" s="1079"/>
      <c r="V14" s="1080"/>
      <c r="W14" s="1079"/>
      <c r="X14" s="1079"/>
      <c r="Y14" s="1079"/>
      <c r="Z14" s="1079"/>
      <c r="AA14" s="1079"/>
      <c r="AB14" s="1079"/>
      <c r="AC14" s="1079"/>
      <c r="AD14" s="1079"/>
      <c r="AE14" s="1079"/>
      <c r="AF14" s="1079"/>
      <c r="AG14" s="1079"/>
      <c r="AH14" s="1079"/>
      <c r="AI14" s="1079"/>
      <c r="AJ14" s="1079"/>
      <c r="AK14" s="1079"/>
      <c r="AL14" s="1079"/>
      <c r="AM14" s="1079"/>
      <c r="AN14" s="1079"/>
      <c r="AO14" s="1079"/>
      <c r="AP14" s="1079"/>
      <c r="AQ14" s="1079"/>
      <c r="AR14" s="1079"/>
      <c r="AS14" s="1079"/>
      <c r="AT14" s="1079"/>
      <c r="AU14" s="1079"/>
      <c r="AV14" s="1079"/>
      <c r="AW14" s="1079"/>
      <c r="AX14" s="1079"/>
      <c r="AY14" s="1079"/>
      <c r="AZ14" s="1079"/>
      <c r="BA14" s="1079"/>
      <c r="BB14" s="1079"/>
      <c r="BC14" s="1079"/>
      <c r="BD14" s="1079"/>
      <c r="BE14" s="1079"/>
      <c r="BF14" s="1079"/>
      <c r="BG14" s="1079"/>
      <c r="BH14" s="1079"/>
      <c r="BI14" s="1079"/>
      <c r="BJ14" s="1079"/>
      <c r="BK14" s="1079"/>
      <c r="BL14" s="1079"/>
      <c r="BM14" s="1079"/>
      <c r="BN14" s="1079"/>
      <c r="BO14" s="1079"/>
      <c r="BP14" s="1079"/>
      <c r="BQ14" s="1079"/>
      <c r="BR14" s="1079"/>
      <c r="BS14" s="1079"/>
      <c r="BT14" s="1079"/>
      <c r="BU14" s="1079"/>
      <c r="BV14" s="1079"/>
      <c r="BW14" s="1079"/>
      <c r="BX14" s="1079"/>
      <c r="BY14" s="1079"/>
      <c r="BZ14" s="1079"/>
      <c r="CA14" s="1079"/>
      <c r="CB14" s="1079"/>
      <c r="CC14" s="1079"/>
      <c r="CD14" s="1079"/>
      <c r="CE14" s="1079"/>
      <c r="CF14" s="1079"/>
      <c r="CG14" s="1079"/>
      <c r="CH14" s="1079"/>
      <c r="CI14" s="1079"/>
      <c r="CJ14" s="1079"/>
      <c r="CK14" s="1079"/>
      <c r="CL14" s="1079"/>
      <c r="CM14" s="1079"/>
      <c r="CN14" s="1079"/>
      <c r="CO14" s="1079"/>
      <c r="CP14" s="1079"/>
      <c r="CQ14" s="1079"/>
      <c r="CR14" s="1079"/>
      <c r="CS14" s="1079"/>
      <c r="CT14" s="1079"/>
      <c r="CU14" s="1079"/>
      <c r="CV14" s="1079"/>
      <c r="CW14" s="1079"/>
      <c r="CX14" s="1079"/>
      <c r="CY14" s="1079"/>
      <c r="CZ14" s="1079"/>
      <c r="DA14" s="1079"/>
      <c r="DB14" s="1079"/>
      <c r="DC14" s="1079"/>
      <c r="DD14" s="1079"/>
      <c r="DE14" s="1079"/>
      <c r="DF14" s="1079"/>
      <c r="DG14" s="1079"/>
      <c r="DH14" s="1079"/>
      <c r="DI14" s="1079"/>
      <c r="DJ14" s="1079"/>
      <c r="DK14" s="1079"/>
      <c r="DL14" s="1079"/>
      <c r="DM14" s="1079"/>
      <c r="DN14" s="1079"/>
      <c r="DO14" s="1079"/>
      <c r="DP14" s="1079"/>
      <c r="DQ14" s="1079"/>
      <c r="DR14" s="1079"/>
      <c r="DS14" s="1079"/>
      <c r="DT14" s="1079"/>
      <c r="DU14" s="1079"/>
      <c r="DV14" s="1079"/>
      <c r="DW14" s="1079"/>
      <c r="DX14" s="1079"/>
      <c r="DY14" s="1079"/>
      <c r="DZ14" s="1079"/>
      <c r="EA14" s="1079"/>
      <c r="EB14" s="1079"/>
      <c r="EC14" s="1079"/>
      <c r="ED14" s="1079"/>
      <c r="EE14" s="1079"/>
      <c r="EF14" s="1079"/>
      <c r="EG14" s="1079"/>
      <c r="EH14" s="1079"/>
      <c r="EI14" s="1079"/>
      <c r="EJ14" s="1079"/>
      <c r="EK14" s="1079"/>
      <c r="EL14" s="1079"/>
      <c r="EM14" s="1079"/>
      <c r="EN14" s="1079"/>
      <c r="EO14" s="1079"/>
      <c r="EP14" s="1079"/>
      <c r="EQ14" s="1079"/>
      <c r="ER14" s="1079"/>
      <c r="ES14" s="1079"/>
      <c r="ET14" s="1079"/>
      <c r="EU14" s="1079"/>
      <c r="EV14" s="1079"/>
      <c r="EW14" s="1079"/>
      <c r="EX14" s="1079"/>
    </row>
    <row r="15" spans="1:154" s="477" customFormat="1" ht="15" customHeight="1">
      <c r="A15" s="299" t="s">
        <v>353</v>
      </c>
      <c r="B15" s="300">
        <f>'Anexo III _ RCL'!Q15</f>
        <v>53530588</v>
      </c>
      <c r="C15" s="301">
        <f>D15-'[21]Anexo VII _ RES PRIM'!D15</f>
        <v>6224123.240000002</v>
      </c>
      <c r="D15" s="302">
        <v>31721109.46</v>
      </c>
      <c r="E15" s="1267">
        <v>29574463.94</v>
      </c>
      <c r="O15" s="305"/>
      <c r="P15" s="1079"/>
      <c r="Q15" s="1079"/>
      <c r="R15" s="1079"/>
      <c r="S15" s="1079"/>
      <c r="T15" s="1082"/>
      <c r="U15" s="1079"/>
      <c r="V15" s="1080"/>
      <c r="W15" s="1079"/>
      <c r="X15" s="1079"/>
      <c r="Y15" s="1079"/>
      <c r="Z15" s="1079"/>
      <c r="AA15" s="1079"/>
      <c r="AB15" s="1079"/>
      <c r="AC15" s="1079"/>
      <c r="AD15" s="1079"/>
      <c r="AE15" s="1079"/>
      <c r="AF15" s="1079"/>
      <c r="AG15" s="1079"/>
      <c r="AH15" s="1079"/>
      <c r="AI15" s="1079"/>
      <c r="AJ15" s="1079"/>
      <c r="AK15" s="1079"/>
      <c r="AL15" s="1079"/>
      <c r="AM15" s="1079"/>
      <c r="AN15" s="1079"/>
      <c r="AO15" s="1079"/>
      <c r="AP15" s="1079"/>
      <c r="AQ15" s="1079"/>
      <c r="AR15" s="1079"/>
      <c r="AS15" s="1079"/>
      <c r="AT15" s="1079"/>
      <c r="AU15" s="1079"/>
      <c r="AV15" s="1079"/>
      <c r="AW15" s="1079"/>
      <c r="AX15" s="1079"/>
      <c r="AY15" s="1079"/>
      <c r="AZ15" s="1079"/>
      <c r="BA15" s="1079"/>
      <c r="BB15" s="1079"/>
      <c r="BC15" s="1079"/>
      <c r="BD15" s="1079"/>
      <c r="BE15" s="1079"/>
      <c r="BF15" s="1079"/>
      <c r="BG15" s="1079"/>
      <c r="BH15" s="1079"/>
      <c r="BI15" s="1079"/>
      <c r="BJ15" s="1079"/>
      <c r="BK15" s="1079"/>
      <c r="BL15" s="1079"/>
      <c r="BM15" s="1079"/>
      <c r="BN15" s="1079"/>
      <c r="BO15" s="1079"/>
      <c r="BP15" s="1079"/>
      <c r="BQ15" s="1079"/>
      <c r="BR15" s="1079"/>
      <c r="BS15" s="1079"/>
      <c r="BT15" s="1079"/>
      <c r="BU15" s="1079"/>
      <c r="BV15" s="1079"/>
      <c r="BW15" s="1079"/>
      <c r="BX15" s="1079"/>
      <c r="BY15" s="1079"/>
      <c r="BZ15" s="1079"/>
      <c r="CA15" s="1079"/>
      <c r="CB15" s="1079"/>
      <c r="CC15" s="1079"/>
      <c r="CD15" s="1079"/>
      <c r="CE15" s="1079"/>
      <c r="CF15" s="1079"/>
      <c r="CG15" s="1079"/>
      <c r="CH15" s="1079"/>
      <c r="CI15" s="1079"/>
      <c r="CJ15" s="1079"/>
      <c r="CK15" s="1079"/>
      <c r="CL15" s="1079"/>
      <c r="CM15" s="1079"/>
      <c r="CN15" s="1079"/>
      <c r="CO15" s="1079"/>
      <c r="CP15" s="1079"/>
      <c r="CQ15" s="1079"/>
      <c r="CR15" s="1079"/>
      <c r="CS15" s="1079"/>
      <c r="CT15" s="1079"/>
      <c r="CU15" s="1079"/>
      <c r="CV15" s="1079"/>
      <c r="CW15" s="1079"/>
      <c r="CX15" s="1079"/>
      <c r="CY15" s="1079"/>
      <c r="CZ15" s="1079"/>
      <c r="DA15" s="1079"/>
      <c r="DB15" s="1079"/>
      <c r="DC15" s="1079"/>
      <c r="DD15" s="1079"/>
      <c r="DE15" s="1079"/>
      <c r="DF15" s="1079"/>
      <c r="DG15" s="1079"/>
      <c r="DH15" s="1079"/>
      <c r="DI15" s="1079"/>
      <c r="DJ15" s="1079"/>
      <c r="DK15" s="1079"/>
      <c r="DL15" s="1079"/>
      <c r="DM15" s="1079"/>
      <c r="DN15" s="1079"/>
      <c r="DO15" s="1079"/>
      <c r="DP15" s="1079"/>
      <c r="DQ15" s="1079"/>
      <c r="DR15" s="1079"/>
      <c r="DS15" s="1079"/>
      <c r="DT15" s="1079"/>
      <c r="DU15" s="1079"/>
      <c r="DV15" s="1079"/>
      <c r="DW15" s="1079"/>
      <c r="DX15" s="1079"/>
      <c r="DY15" s="1079"/>
      <c r="DZ15" s="1079"/>
      <c r="EA15" s="1079"/>
      <c r="EB15" s="1079"/>
      <c r="EC15" s="1079"/>
      <c r="ED15" s="1079"/>
      <c r="EE15" s="1079"/>
      <c r="EF15" s="1079"/>
      <c r="EG15" s="1079"/>
      <c r="EH15" s="1079"/>
      <c r="EI15" s="1079"/>
      <c r="EJ15" s="1079"/>
      <c r="EK15" s="1079"/>
      <c r="EL15" s="1079"/>
      <c r="EM15" s="1079"/>
      <c r="EN15" s="1079"/>
      <c r="EO15" s="1079"/>
      <c r="EP15" s="1079"/>
      <c r="EQ15" s="1079"/>
      <c r="ER15" s="1079"/>
      <c r="ES15" s="1079"/>
      <c r="ET15" s="1079"/>
      <c r="EU15" s="1079"/>
      <c r="EV15" s="1079"/>
      <c r="EW15" s="1079"/>
      <c r="EX15" s="1079"/>
    </row>
    <row r="16" spans="1:154" s="477" customFormat="1" ht="15" customHeight="1">
      <c r="A16" s="299" t="s">
        <v>354</v>
      </c>
      <c r="B16" s="300">
        <f>'Anexo III _ RCL'!Q16</f>
        <v>17083118</v>
      </c>
      <c r="C16" s="301">
        <f>D16-'[21]Anexo VII _ RES PRIM'!D16</f>
        <v>1383974.4900000095</v>
      </c>
      <c r="D16" s="822">
        <f>416807837.39-405411741.57</f>
        <v>11396095.819999993</v>
      </c>
      <c r="E16" s="1268">
        <v>11408701.06</v>
      </c>
      <c r="O16" s="305"/>
      <c r="P16" s="1079"/>
      <c r="Q16" s="1079"/>
      <c r="R16" s="1079"/>
      <c r="S16" s="1079"/>
      <c r="T16" s="1079"/>
      <c r="U16" s="1083"/>
      <c r="V16" s="1079"/>
      <c r="W16" s="1079"/>
      <c r="X16" s="1079"/>
      <c r="Y16" s="1079"/>
      <c r="Z16" s="1079"/>
      <c r="AA16" s="1079"/>
      <c r="AB16" s="1079"/>
      <c r="AC16" s="1079"/>
      <c r="AD16" s="1079"/>
      <c r="AE16" s="1079"/>
      <c r="AF16" s="1079"/>
      <c r="AG16" s="1079"/>
      <c r="AH16" s="1079"/>
      <c r="AI16" s="1079"/>
      <c r="AJ16" s="1079"/>
      <c r="AK16" s="1079"/>
      <c r="AL16" s="1079"/>
      <c r="AM16" s="1079"/>
      <c r="AN16" s="1079"/>
      <c r="AO16" s="1079"/>
      <c r="AP16" s="1079"/>
      <c r="AQ16" s="1079"/>
      <c r="AR16" s="1079"/>
      <c r="AS16" s="1079"/>
      <c r="AT16" s="1079"/>
      <c r="AU16" s="1079"/>
      <c r="AV16" s="1079"/>
      <c r="AW16" s="1079"/>
      <c r="AX16" s="1079"/>
      <c r="AY16" s="1079"/>
      <c r="AZ16" s="1079"/>
      <c r="BA16" s="1079"/>
      <c r="BB16" s="1079"/>
      <c r="BC16" s="1079"/>
      <c r="BD16" s="1079"/>
      <c r="BE16" s="1079"/>
      <c r="BF16" s="1079"/>
      <c r="BG16" s="1079"/>
      <c r="BH16" s="1079"/>
      <c r="BI16" s="1079"/>
      <c r="BJ16" s="1079"/>
      <c r="BK16" s="1079"/>
      <c r="BL16" s="1079"/>
      <c r="BM16" s="1079"/>
      <c r="BN16" s="1079"/>
      <c r="BO16" s="1079"/>
      <c r="BP16" s="1079"/>
      <c r="BQ16" s="1079"/>
      <c r="BR16" s="1079"/>
      <c r="BS16" s="1079"/>
      <c r="BT16" s="1079"/>
      <c r="BU16" s="1079"/>
      <c r="BV16" s="1079"/>
      <c r="BW16" s="1079"/>
      <c r="BX16" s="1079"/>
      <c r="BY16" s="1079"/>
      <c r="BZ16" s="1079"/>
      <c r="CA16" s="1079"/>
      <c r="CB16" s="1079"/>
      <c r="CC16" s="1079"/>
      <c r="CD16" s="1079"/>
      <c r="CE16" s="1079"/>
      <c r="CF16" s="1079"/>
      <c r="CG16" s="1079"/>
      <c r="CH16" s="1079"/>
      <c r="CI16" s="1079"/>
      <c r="CJ16" s="1079"/>
      <c r="CK16" s="1079"/>
      <c r="CL16" s="1079"/>
      <c r="CM16" s="1079"/>
      <c r="CN16" s="1079"/>
      <c r="CO16" s="1079"/>
      <c r="CP16" s="1079"/>
      <c r="CQ16" s="1079"/>
      <c r="CR16" s="1079"/>
      <c r="CS16" s="1079"/>
      <c r="CT16" s="1079"/>
      <c r="CU16" s="1079"/>
      <c r="CV16" s="1079"/>
      <c r="CW16" s="1079"/>
      <c r="CX16" s="1079"/>
      <c r="CY16" s="1079"/>
      <c r="CZ16" s="1079"/>
      <c r="DA16" s="1079"/>
      <c r="DB16" s="1079"/>
      <c r="DC16" s="1079"/>
      <c r="DD16" s="1079"/>
      <c r="DE16" s="1079"/>
      <c r="DF16" s="1079"/>
      <c r="DG16" s="1079"/>
      <c r="DH16" s="1079"/>
      <c r="DI16" s="1079"/>
      <c r="DJ16" s="1079"/>
      <c r="DK16" s="1079"/>
      <c r="DL16" s="1079"/>
      <c r="DM16" s="1079"/>
      <c r="DN16" s="1079"/>
      <c r="DO16" s="1079"/>
      <c r="DP16" s="1079"/>
      <c r="DQ16" s="1079"/>
      <c r="DR16" s="1079"/>
      <c r="DS16" s="1079"/>
      <c r="DT16" s="1079"/>
      <c r="DU16" s="1079"/>
      <c r="DV16" s="1079"/>
      <c r="DW16" s="1079"/>
      <c r="DX16" s="1079"/>
      <c r="DY16" s="1079"/>
      <c r="DZ16" s="1079"/>
      <c r="EA16" s="1079"/>
      <c r="EB16" s="1079"/>
      <c r="EC16" s="1079"/>
      <c r="ED16" s="1079"/>
      <c r="EE16" s="1079"/>
      <c r="EF16" s="1079"/>
      <c r="EG16" s="1079"/>
      <c r="EH16" s="1079"/>
      <c r="EI16" s="1079"/>
      <c r="EJ16" s="1079"/>
      <c r="EK16" s="1079"/>
      <c r="EL16" s="1079"/>
      <c r="EM16" s="1079"/>
      <c r="EN16" s="1079"/>
      <c r="EO16" s="1079"/>
      <c r="EP16" s="1079"/>
      <c r="EQ16" s="1079"/>
      <c r="ER16" s="1079"/>
      <c r="ES16" s="1079"/>
      <c r="ET16" s="1079"/>
      <c r="EU16" s="1079"/>
      <c r="EV16" s="1079"/>
      <c r="EW16" s="1079"/>
      <c r="EX16" s="1079"/>
    </row>
    <row r="17" spans="1:154" ht="15" customHeight="1">
      <c r="A17" s="697" t="s">
        <v>698</v>
      </c>
      <c r="B17" s="297">
        <f>B18+B19</f>
        <v>125947957</v>
      </c>
      <c r="C17" s="310">
        <f>C18+C19</f>
        <v>8211602.1499999985</v>
      </c>
      <c r="D17" s="311">
        <f>D18+D19</f>
        <v>78351614.08</v>
      </c>
      <c r="E17" s="1269">
        <f>E18+E19</f>
        <v>68051381.15</v>
      </c>
      <c r="P17" s="1079"/>
      <c r="Q17" s="1079"/>
      <c r="R17" s="1079"/>
      <c r="S17" s="1079"/>
      <c r="T17" s="1079"/>
      <c r="U17" s="1080"/>
      <c r="V17" s="1079"/>
      <c r="W17" s="1079"/>
      <c r="X17" s="1079"/>
      <c r="Y17" s="1079"/>
      <c r="Z17" s="1079"/>
      <c r="AA17" s="1079"/>
      <c r="AB17" s="1079"/>
      <c r="AC17" s="1079"/>
      <c r="AD17" s="1079"/>
      <c r="AE17" s="1079"/>
      <c r="AF17" s="1079"/>
      <c r="AG17" s="1079"/>
      <c r="AH17" s="1079"/>
      <c r="AI17" s="1079"/>
      <c r="AJ17" s="1079"/>
      <c r="AK17" s="1079"/>
      <c r="AL17" s="1079"/>
      <c r="AM17" s="1079"/>
      <c r="AN17" s="1079"/>
      <c r="AO17" s="1079"/>
      <c r="AP17" s="1079"/>
      <c r="AQ17" s="1079"/>
      <c r="AR17" s="1079"/>
      <c r="AS17" s="1079"/>
      <c r="AT17" s="1079"/>
      <c r="AU17" s="1079"/>
      <c r="AV17" s="1079"/>
      <c r="AW17" s="1079"/>
      <c r="AX17" s="1079"/>
      <c r="AY17" s="1079"/>
      <c r="AZ17" s="1079"/>
      <c r="BA17" s="1079"/>
      <c r="BB17" s="1079"/>
      <c r="BC17" s="1079"/>
      <c r="BD17" s="1079"/>
      <c r="BE17" s="1079"/>
      <c r="BF17" s="1079"/>
      <c r="BG17" s="1079"/>
      <c r="BH17" s="1079"/>
      <c r="BI17" s="1079"/>
      <c r="BJ17" s="1079"/>
      <c r="BK17" s="1079"/>
      <c r="BL17" s="1079"/>
      <c r="BM17" s="1079"/>
      <c r="BN17" s="1079"/>
      <c r="BO17" s="1079"/>
      <c r="BP17" s="1079"/>
      <c r="BQ17" s="1079"/>
      <c r="BR17" s="1079"/>
      <c r="BS17" s="1079"/>
      <c r="BT17" s="1079"/>
      <c r="BU17" s="1079"/>
      <c r="BV17" s="1079"/>
      <c r="BW17" s="1079"/>
      <c r="BX17" s="1079"/>
      <c r="BY17" s="1079"/>
      <c r="BZ17" s="1079"/>
      <c r="CA17" s="1079"/>
      <c r="CB17" s="1079"/>
      <c r="CC17" s="1079"/>
      <c r="CD17" s="1079"/>
      <c r="CE17" s="1079"/>
      <c r="CF17" s="1079"/>
      <c r="CG17" s="1079"/>
      <c r="CH17" s="1079"/>
      <c r="CI17" s="1079"/>
      <c r="CJ17" s="1079"/>
      <c r="CK17" s="1079"/>
      <c r="CL17" s="1079"/>
      <c r="CM17" s="1079"/>
      <c r="CN17" s="1079"/>
      <c r="CO17" s="1079"/>
      <c r="CP17" s="1079"/>
      <c r="CQ17" s="1079"/>
      <c r="CR17" s="1079"/>
      <c r="CS17" s="1079"/>
      <c r="CT17" s="1079"/>
      <c r="CU17" s="1079"/>
      <c r="CV17" s="1079"/>
      <c r="CW17" s="1079"/>
      <c r="CX17" s="1079"/>
      <c r="CY17" s="1079"/>
      <c r="CZ17" s="1079"/>
      <c r="DA17" s="1079"/>
      <c r="DB17" s="1079"/>
      <c r="DC17" s="1079"/>
      <c r="DD17" s="1079"/>
      <c r="DE17" s="1079"/>
      <c r="DF17" s="1079"/>
      <c r="DG17" s="1079"/>
      <c r="DH17" s="1079"/>
      <c r="DI17" s="1079"/>
      <c r="DJ17" s="1079"/>
      <c r="DK17" s="1079"/>
      <c r="DL17" s="1079"/>
      <c r="DM17" s="1079"/>
      <c r="DN17" s="1079"/>
      <c r="DO17" s="1079"/>
      <c r="DP17" s="1079"/>
      <c r="DQ17" s="1079"/>
      <c r="DR17" s="1079"/>
      <c r="DS17" s="1079"/>
      <c r="DT17" s="1079"/>
      <c r="DU17" s="1079"/>
      <c r="DV17" s="1079"/>
      <c r="DW17" s="1079"/>
      <c r="DX17" s="1079"/>
      <c r="DY17" s="1079"/>
      <c r="DZ17" s="1079"/>
      <c r="EA17" s="1079"/>
      <c r="EB17" s="1079"/>
      <c r="EC17" s="1079"/>
      <c r="ED17" s="1079"/>
      <c r="EE17" s="1079"/>
      <c r="EF17" s="1079"/>
      <c r="EG17" s="1079"/>
      <c r="EH17" s="1079"/>
      <c r="EI17" s="1079"/>
      <c r="EJ17" s="1079"/>
      <c r="EK17" s="1079"/>
      <c r="EL17" s="1079"/>
      <c r="EM17" s="1079"/>
      <c r="EN17" s="1079"/>
      <c r="EO17" s="1079"/>
      <c r="EP17" s="1079"/>
      <c r="EQ17" s="1079"/>
      <c r="ER17" s="1079"/>
      <c r="ES17" s="1079"/>
      <c r="ET17" s="1079"/>
      <c r="EU17" s="1079"/>
      <c r="EV17" s="1079"/>
      <c r="EW17" s="1079"/>
      <c r="EX17" s="1079"/>
    </row>
    <row r="18" spans="1:154" s="477" customFormat="1" ht="15" customHeight="1">
      <c r="A18" s="303" t="s">
        <v>355</v>
      </c>
      <c r="B18" s="300">
        <f>'Anexo I_BAL ORC'!C16</f>
        <v>69085622</v>
      </c>
      <c r="C18" s="301">
        <f>D18-'[21]Anexo VII _ RES PRIM'!D18</f>
        <v>-1504321.990000002</v>
      </c>
      <c r="D18" s="304">
        <f>'Anexo I_BAL ORC'!G16</f>
        <v>32029990.95</v>
      </c>
      <c r="E18" s="1270">
        <v>26554794.67</v>
      </c>
      <c r="O18" s="305"/>
      <c r="P18" s="1079"/>
      <c r="Q18" s="1079"/>
      <c r="R18" s="1079"/>
      <c r="S18" s="1079"/>
      <c r="T18" s="1079"/>
      <c r="U18" s="1080"/>
      <c r="V18" s="1079"/>
      <c r="W18" s="1079"/>
      <c r="X18" s="1079"/>
      <c r="Y18" s="1079"/>
      <c r="Z18" s="1079"/>
      <c r="AA18" s="1079"/>
      <c r="AB18" s="1079"/>
      <c r="AC18" s="1079"/>
      <c r="AD18" s="1079"/>
      <c r="AE18" s="1079"/>
      <c r="AF18" s="1079"/>
      <c r="AG18" s="1079"/>
      <c r="AH18" s="1079"/>
      <c r="AI18" s="1079"/>
      <c r="AJ18" s="1079"/>
      <c r="AK18" s="1079"/>
      <c r="AL18" s="1079"/>
      <c r="AM18" s="1079"/>
      <c r="AN18" s="1079"/>
      <c r="AO18" s="1079"/>
      <c r="AP18" s="1079"/>
      <c r="AQ18" s="1079"/>
      <c r="AR18" s="1079"/>
      <c r="AS18" s="1079"/>
      <c r="AT18" s="1079"/>
      <c r="AU18" s="1079"/>
      <c r="AV18" s="1079"/>
      <c r="AW18" s="1079"/>
      <c r="AX18" s="1079"/>
      <c r="AY18" s="1079"/>
      <c r="AZ18" s="1079"/>
      <c r="BA18" s="1079"/>
      <c r="BB18" s="1079"/>
      <c r="BC18" s="1079"/>
      <c r="BD18" s="1079"/>
      <c r="BE18" s="1079"/>
      <c r="BF18" s="1079"/>
      <c r="BG18" s="1079"/>
      <c r="BH18" s="1079"/>
      <c r="BI18" s="1079"/>
      <c r="BJ18" s="1079"/>
      <c r="BK18" s="1079"/>
      <c r="BL18" s="1079"/>
      <c r="BM18" s="1079"/>
      <c r="BN18" s="1079"/>
      <c r="BO18" s="1079"/>
      <c r="BP18" s="1079"/>
      <c r="BQ18" s="1079"/>
      <c r="BR18" s="1079"/>
      <c r="BS18" s="1079"/>
      <c r="BT18" s="1079"/>
      <c r="BU18" s="1079"/>
      <c r="BV18" s="1079"/>
      <c r="BW18" s="1079"/>
      <c r="BX18" s="1079"/>
      <c r="BY18" s="1079"/>
      <c r="BZ18" s="1079"/>
      <c r="CA18" s="1079"/>
      <c r="CB18" s="1079"/>
      <c r="CC18" s="1079"/>
      <c r="CD18" s="1079"/>
      <c r="CE18" s="1079"/>
      <c r="CF18" s="1079"/>
      <c r="CG18" s="1079"/>
      <c r="CH18" s="1079"/>
      <c r="CI18" s="1079"/>
      <c r="CJ18" s="1079"/>
      <c r="CK18" s="1079"/>
      <c r="CL18" s="1079"/>
      <c r="CM18" s="1079"/>
      <c r="CN18" s="1079"/>
      <c r="CO18" s="1079"/>
      <c r="CP18" s="1079"/>
      <c r="CQ18" s="1079"/>
      <c r="CR18" s="1079"/>
      <c r="CS18" s="1079"/>
      <c r="CT18" s="1079"/>
      <c r="CU18" s="1079"/>
      <c r="CV18" s="1079"/>
      <c r="CW18" s="1079"/>
      <c r="CX18" s="1079"/>
      <c r="CY18" s="1079"/>
      <c r="CZ18" s="1079"/>
      <c r="DA18" s="1079"/>
      <c r="DB18" s="1079"/>
      <c r="DC18" s="1079"/>
      <c r="DD18" s="1079"/>
      <c r="DE18" s="1079"/>
      <c r="DF18" s="1079"/>
      <c r="DG18" s="1079"/>
      <c r="DH18" s="1079"/>
      <c r="DI18" s="1079"/>
      <c r="DJ18" s="1079"/>
      <c r="DK18" s="1079"/>
      <c r="DL18" s="1079"/>
      <c r="DM18" s="1079"/>
      <c r="DN18" s="1079"/>
      <c r="DO18" s="1079"/>
      <c r="DP18" s="1079"/>
      <c r="DQ18" s="1079"/>
      <c r="DR18" s="1079"/>
      <c r="DS18" s="1079"/>
      <c r="DT18" s="1079"/>
      <c r="DU18" s="1079"/>
      <c r="DV18" s="1079"/>
      <c r="DW18" s="1079"/>
      <c r="DX18" s="1079"/>
      <c r="DY18" s="1079"/>
      <c r="DZ18" s="1079"/>
      <c r="EA18" s="1079"/>
      <c r="EB18" s="1079"/>
      <c r="EC18" s="1079"/>
      <c r="ED18" s="1079"/>
      <c r="EE18" s="1079"/>
      <c r="EF18" s="1079"/>
      <c r="EG18" s="1079"/>
      <c r="EH18" s="1079"/>
      <c r="EI18" s="1079"/>
      <c r="EJ18" s="1079"/>
      <c r="EK18" s="1079"/>
      <c r="EL18" s="1079"/>
      <c r="EM18" s="1079"/>
      <c r="EN18" s="1079"/>
      <c r="EO18" s="1079"/>
      <c r="EP18" s="1079"/>
      <c r="EQ18" s="1079"/>
      <c r="ER18" s="1079"/>
      <c r="ES18" s="1079"/>
      <c r="ET18" s="1079"/>
      <c r="EU18" s="1079"/>
      <c r="EV18" s="1079"/>
      <c r="EW18" s="1079"/>
      <c r="EX18" s="1079"/>
    </row>
    <row r="19" spans="1:154" s="305" customFormat="1" ht="15" customHeight="1">
      <c r="A19" s="303" t="s">
        <v>356</v>
      </c>
      <c r="B19" s="300">
        <f>'Anexo I_BAL ORC'!C17</f>
        <v>56862335</v>
      </c>
      <c r="C19" s="301">
        <f>D19-'[21]Anexo VII _ RES PRIM'!D19</f>
        <v>9715924.14</v>
      </c>
      <c r="D19" s="304">
        <f>'Anexo I_BAL ORC'!G17</f>
        <v>46321623.13</v>
      </c>
      <c r="E19" s="1270">
        <v>41496586.48</v>
      </c>
      <c r="P19" s="1079"/>
      <c r="Q19" s="1079"/>
      <c r="R19" s="1079"/>
      <c r="S19" s="1079"/>
      <c r="T19" s="1079"/>
      <c r="U19" s="1079"/>
      <c r="V19" s="1079"/>
      <c r="W19" s="1079"/>
      <c r="X19" s="1079"/>
      <c r="Y19" s="1079"/>
      <c r="Z19" s="1079"/>
      <c r="AA19" s="1079"/>
      <c r="AB19" s="1079"/>
      <c r="AC19" s="1079"/>
      <c r="AD19" s="1079"/>
      <c r="AE19" s="1079"/>
      <c r="AF19" s="1079"/>
      <c r="AG19" s="1079"/>
      <c r="AH19" s="1079"/>
      <c r="AI19" s="1079"/>
      <c r="AJ19" s="1079"/>
      <c r="AK19" s="1079"/>
      <c r="AL19" s="1079"/>
      <c r="AM19" s="1079"/>
      <c r="AN19" s="1079"/>
      <c r="AO19" s="1079"/>
      <c r="AP19" s="1079"/>
      <c r="AQ19" s="1079"/>
      <c r="AR19" s="1079"/>
      <c r="AS19" s="1079"/>
      <c r="AT19" s="1079"/>
      <c r="AU19" s="1079"/>
      <c r="AV19" s="1079"/>
      <c r="AW19" s="1079"/>
      <c r="AX19" s="1079"/>
      <c r="AY19" s="1079"/>
      <c r="AZ19" s="1079"/>
      <c r="BA19" s="1079"/>
      <c r="BB19" s="1079"/>
      <c r="BC19" s="1079"/>
      <c r="BD19" s="1079"/>
      <c r="BE19" s="1079"/>
      <c r="BF19" s="1079"/>
      <c r="BG19" s="1079"/>
      <c r="BH19" s="1079"/>
      <c r="BI19" s="1079"/>
      <c r="BJ19" s="1079"/>
      <c r="BK19" s="1079"/>
      <c r="BL19" s="1079"/>
      <c r="BM19" s="1079"/>
      <c r="BN19" s="1079"/>
      <c r="BO19" s="1079"/>
      <c r="BP19" s="1079"/>
      <c r="BQ19" s="1079"/>
      <c r="BR19" s="1079"/>
      <c r="BS19" s="1079"/>
      <c r="BT19" s="1079"/>
      <c r="BU19" s="1079"/>
      <c r="BV19" s="1079"/>
      <c r="BW19" s="1079"/>
      <c r="BX19" s="1079"/>
      <c r="BY19" s="1079"/>
      <c r="BZ19" s="1079"/>
      <c r="CA19" s="1079"/>
      <c r="CB19" s="1079"/>
      <c r="CC19" s="1079"/>
      <c r="CD19" s="1079"/>
      <c r="CE19" s="1079"/>
      <c r="CF19" s="1079"/>
      <c r="CG19" s="1079"/>
      <c r="CH19" s="1079"/>
      <c r="CI19" s="1079"/>
      <c r="CJ19" s="1079"/>
      <c r="CK19" s="1079"/>
      <c r="CL19" s="1079"/>
      <c r="CM19" s="1079"/>
      <c r="CN19" s="1079"/>
      <c r="CO19" s="1079"/>
      <c r="CP19" s="1079"/>
      <c r="CQ19" s="1079"/>
      <c r="CR19" s="1079"/>
      <c r="CS19" s="1079"/>
      <c r="CT19" s="1079"/>
      <c r="CU19" s="1079"/>
      <c r="CV19" s="1079"/>
      <c r="CW19" s="1079"/>
      <c r="CX19" s="1079"/>
      <c r="CY19" s="1079"/>
      <c r="CZ19" s="1079"/>
      <c r="DA19" s="1079"/>
      <c r="DB19" s="1079"/>
      <c r="DC19" s="1079"/>
      <c r="DD19" s="1079"/>
      <c r="DE19" s="1079"/>
      <c r="DF19" s="1079"/>
      <c r="DG19" s="1079"/>
      <c r="DH19" s="1079"/>
      <c r="DI19" s="1079"/>
      <c r="DJ19" s="1079"/>
      <c r="DK19" s="1079"/>
      <c r="DL19" s="1079"/>
      <c r="DM19" s="1079"/>
      <c r="DN19" s="1079"/>
      <c r="DO19" s="1079"/>
      <c r="DP19" s="1079"/>
      <c r="DQ19" s="1079"/>
      <c r="DR19" s="1079"/>
      <c r="DS19" s="1079"/>
      <c r="DT19" s="1079"/>
      <c r="DU19" s="1079"/>
      <c r="DV19" s="1079"/>
      <c r="DW19" s="1079"/>
      <c r="DX19" s="1079"/>
      <c r="DY19" s="1079"/>
      <c r="DZ19" s="1079"/>
      <c r="EA19" s="1079"/>
      <c r="EB19" s="1079"/>
      <c r="EC19" s="1079"/>
      <c r="ED19" s="1079"/>
      <c r="EE19" s="1079"/>
      <c r="EF19" s="1079"/>
      <c r="EG19" s="1079"/>
      <c r="EH19" s="1079"/>
      <c r="EI19" s="1079"/>
      <c r="EJ19" s="1079"/>
      <c r="EK19" s="1079"/>
      <c r="EL19" s="1079"/>
      <c r="EM19" s="1079"/>
      <c r="EN19" s="1079"/>
      <c r="EO19" s="1079"/>
      <c r="EP19" s="1079"/>
      <c r="EQ19" s="1079"/>
      <c r="ER19" s="1079"/>
      <c r="ES19" s="1079"/>
      <c r="ET19" s="1079"/>
      <c r="EU19" s="1079"/>
      <c r="EV19" s="1079"/>
      <c r="EW19" s="1079"/>
      <c r="EX19" s="1079"/>
    </row>
    <row r="20" spans="1:154" s="823" customFormat="1" ht="15" customHeight="1">
      <c r="A20" s="697" t="s">
        <v>357</v>
      </c>
      <c r="B20" s="297">
        <f>B21-B22</f>
        <v>377640</v>
      </c>
      <c r="C20" s="311">
        <f>C21-C22</f>
        <v>63567.500000003725</v>
      </c>
      <c r="D20" s="720">
        <f>D21-D22</f>
        <v>285122.83000000194</v>
      </c>
      <c r="E20" s="1266">
        <f>E21-E22</f>
        <v>242444.47000000253</v>
      </c>
      <c r="O20" s="334"/>
      <c r="P20" s="1084"/>
      <c r="Q20" s="1084"/>
      <c r="R20" s="1084"/>
      <c r="S20" s="1084"/>
      <c r="T20" s="1084"/>
      <c r="U20" s="1084"/>
      <c r="V20" s="1084"/>
      <c r="W20" s="1084"/>
      <c r="X20" s="1084"/>
      <c r="Y20" s="1084"/>
      <c r="Z20" s="1084"/>
      <c r="AA20" s="1084"/>
      <c r="AB20" s="1084"/>
      <c r="AC20" s="1084"/>
      <c r="AD20" s="1084"/>
      <c r="AE20" s="1084"/>
      <c r="AF20" s="1084"/>
      <c r="AG20" s="1084"/>
      <c r="AH20" s="1084"/>
      <c r="AI20" s="1084"/>
      <c r="AJ20" s="1084"/>
      <c r="AK20" s="1084"/>
      <c r="AL20" s="1084"/>
      <c r="AM20" s="1084"/>
      <c r="AN20" s="1084"/>
      <c r="AO20" s="1084"/>
      <c r="AP20" s="1084"/>
      <c r="AQ20" s="1084"/>
      <c r="AR20" s="1084"/>
      <c r="AS20" s="1084"/>
      <c r="AT20" s="1084"/>
      <c r="AU20" s="1084"/>
      <c r="AV20" s="1084"/>
      <c r="AW20" s="1084"/>
      <c r="AX20" s="1084"/>
      <c r="AY20" s="1084"/>
      <c r="AZ20" s="1084"/>
      <c r="BA20" s="1084"/>
      <c r="BB20" s="1084"/>
      <c r="BC20" s="1084"/>
      <c r="BD20" s="1084"/>
      <c r="BE20" s="1084"/>
      <c r="BF20" s="1084"/>
      <c r="BG20" s="1084"/>
      <c r="BH20" s="1084"/>
      <c r="BI20" s="1084"/>
      <c r="BJ20" s="1084"/>
      <c r="BK20" s="1084"/>
      <c r="BL20" s="1084"/>
      <c r="BM20" s="1084"/>
      <c r="BN20" s="1084"/>
      <c r="BO20" s="1084"/>
      <c r="BP20" s="1084"/>
      <c r="BQ20" s="1084"/>
      <c r="BR20" s="1084"/>
      <c r="BS20" s="1084"/>
      <c r="BT20" s="1084"/>
      <c r="BU20" s="1084"/>
      <c r="BV20" s="1084"/>
      <c r="BW20" s="1084"/>
      <c r="BX20" s="1084"/>
      <c r="BY20" s="1084"/>
      <c r="BZ20" s="1084"/>
      <c r="CA20" s="1084"/>
      <c r="CB20" s="1084"/>
      <c r="CC20" s="1084"/>
      <c r="CD20" s="1084"/>
      <c r="CE20" s="1084"/>
      <c r="CF20" s="1084"/>
      <c r="CG20" s="1084"/>
      <c r="CH20" s="1084"/>
      <c r="CI20" s="1084"/>
      <c r="CJ20" s="1084"/>
      <c r="CK20" s="1084"/>
      <c r="CL20" s="1084"/>
      <c r="CM20" s="1084"/>
      <c r="CN20" s="1084"/>
      <c r="CO20" s="1084"/>
      <c r="CP20" s="1084"/>
      <c r="CQ20" s="1084"/>
      <c r="CR20" s="1084"/>
      <c r="CS20" s="1084"/>
      <c r="CT20" s="1084"/>
      <c r="CU20" s="1084"/>
      <c r="CV20" s="1084"/>
      <c r="CW20" s="1084"/>
      <c r="CX20" s="1084"/>
      <c r="CY20" s="1084"/>
      <c r="CZ20" s="1084"/>
      <c r="DA20" s="1084"/>
      <c r="DB20" s="1084"/>
      <c r="DC20" s="1084"/>
      <c r="DD20" s="1084"/>
      <c r="DE20" s="1084"/>
      <c r="DF20" s="1084"/>
      <c r="DG20" s="1084"/>
      <c r="DH20" s="1084"/>
      <c r="DI20" s="1084"/>
      <c r="DJ20" s="1084"/>
      <c r="DK20" s="1084"/>
      <c r="DL20" s="1084"/>
      <c r="DM20" s="1084"/>
      <c r="DN20" s="1084"/>
      <c r="DO20" s="1084"/>
      <c r="DP20" s="1084"/>
      <c r="DQ20" s="1084"/>
      <c r="DR20" s="1084"/>
      <c r="DS20" s="1084"/>
      <c r="DT20" s="1084"/>
      <c r="DU20" s="1084"/>
      <c r="DV20" s="1084"/>
      <c r="DW20" s="1084"/>
      <c r="DX20" s="1084"/>
      <c r="DY20" s="1084"/>
      <c r="DZ20" s="1084"/>
      <c r="EA20" s="1084"/>
      <c r="EB20" s="1084"/>
      <c r="EC20" s="1084"/>
      <c r="ED20" s="1084"/>
      <c r="EE20" s="1084"/>
      <c r="EF20" s="1084"/>
      <c r="EG20" s="1084"/>
      <c r="EH20" s="1084"/>
      <c r="EI20" s="1084"/>
      <c r="EJ20" s="1084"/>
      <c r="EK20" s="1084"/>
      <c r="EL20" s="1084"/>
      <c r="EM20" s="1084"/>
      <c r="EN20" s="1084"/>
      <c r="EO20" s="1084"/>
      <c r="EP20" s="1084"/>
      <c r="EQ20" s="1084"/>
      <c r="ER20" s="1084"/>
      <c r="ES20" s="1084"/>
      <c r="ET20" s="1084"/>
      <c r="EU20" s="1084"/>
      <c r="EV20" s="1084"/>
      <c r="EW20" s="1084"/>
      <c r="EX20" s="1084"/>
    </row>
    <row r="21" spans="1:154" ht="15" customHeight="1">
      <c r="A21" s="303" t="s">
        <v>358</v>
      </c>
      <c r="B21" s="300">
        <f>'Anexo I_BAL ORC'!C18</f>
        <v>21783759</v>
      </c>
      <c r="C21" s="301">
        <f>D21-'[21]Anexo VII _ RES PRIM'!D21</f>
        <v>4194517.780000005</v>
      </c>
      <c r="D21" s="304">
        <f>'Anexo I_BAL ORC'!G18</f>
        <v>23324531.970000003</v>
      </c>
      <c r="E21" s="1267">
        <v>17555904.35</v>
      </c>
      <c r="P21" s="1079"/>
      <c r="Q21" s="1079"/>
      <c r="R21" s="1079"/>
      <c r="S21" s="1079"/>
      <c r="T21" s="1079"/>
      <c r="U21" s="1079"/>
      <c r="V21" s="1082"/>
      <c r="W21" s="1079"/>
      <c r="X21" s="1079"/>
      <c r="Y21" s="1079"/>
      <c r="Z21" s="1079"/>
      <c r="AA21" s="1079"/>
      <c r="AB21" s="1079"/>
      <c r="AC21" s="1079"/>
      <c r="AD21" s="1079"/>
      <c r="AE21" s="1079"/>
      <c r="AF21" s="1079"/>
      <c r="AG21" s="1079"/>
      <c r="AH21" s="1079"/>
      <c r="AI21" s="1079"/>
      <c r="AJ21" s="1079"/>
      <c r="AK21" s="1079"/>
      <c r="AL21" s="1079"/>
      <c r="AM21" s="1079"/>
      <c r="AN21" s="1079"/>
      <c r="AO21" s="1079"/>
      <c r="AP21" s="1079"/>
      <c r="AQ21" s="1079"/>
      <c r="AR21" s="1079"/>
      <c r="AS21" s="1079"/>
      <c r="AT21" s="1079"/>
      <c r="AU21" s="1079"/>
      <c r="AV21" s="1079"/>
      <c r="AW21" s="1079"/>
      <c r="AX21" s="1079"/>
      <c r="AY21" s="1079"/>
      <c r="AZ21" s="1079"/>
      <c r="BA21" s="1079"/>
      <c r="BB21" s="1079"/>
      <c r="BC21" s="1079"/>
      <c r="BD21" s="1079"/>
      <c r="BE21" s="1079"/>
      <c r="BF21" s="1079"/>
      <c r="BG21" s="1079"/>
      <c r="BH21" s="1079"/>
      <c r="BI21" s="1079"/>
      <c r="BJ21" s="1079"/>
      <c r="BK21" s="1079"/>
      <c r="BL21" s="1079"/>
      <c r="BM21" s="1079"/>
      <c r="BN21" s="1079"/>
      <c r="BO21" s="1079"/>
      <c r="BP21" s="1079"/>
      <c r="BQ21" s="1079"/>
      <c r="BR21" s="1079"/>
      <c r="BS21" s="1079"/>
      <c r="BT21" s="1079"/>
      <c r="BU21" s="1079"/>
      <c r="BV21" s="1079"/>
      <c r="BW21" s="1079"/>
      <c r="BX21" s="1079"/>
      <c r="BY21" s="1079"/>
      <c r="BZ21" s="1079"/>
      <c r="CA21" s="1079"/>
      <c r="CB21" s="1079"/>
      <c r="CC21" s="1079"/>
      <c r="CD21" s="1079"/>
      <c r="CE21" s="1079"/>
      <c r="CF21" s="1079"/>
      <c r="CG21" s="1079"/>
      <c r="CH21" s="1079"/>
      <c r="CI21" s="1079"/>
      <c r="CJ21" s="1079"/>
      <c r="CK21" s="1079"/>
      <c r="CL21" s="1079"/>
      <c r="CM21" s="1079"/>
      <c r="CN21" s="1079"/>
      <c r="CO21" s="1079"/>
      <c r="CP21" s="1079"/>
      <c r="CQ21" s="1079"/>
      <c r="CR21" s="1079"/>
      <c r="CS21" s="1079"/>
      <c r="CT21" s="1079"/>
      <c r="CU21" s="1079"/>
      <c r="CV21" s="1079"/>
      <c r="CW21" s="1079"/>
      <c r="CX21" s="1079"/>
      <c r="CY21" s="1079"/>
      <c r="CZ21" s="1079"/>
      <c r="DA21" s="1079"/>
      <c r="DB21" s="1079"/>
      <c r="DC21" s="1079"/>
      <c r="DD21" s="1079"/>
      <c r="DE21" s="1079"/>
      <c r="DF21" s="1079"/>
      <c r="DG21" s="1079"/>
      <c r="DH21" s="1079"/>
      <c r="DI21" s="1079"/>
      <c r="DJ21" s="1079"/>
      <c r="DK21" s="1079"/>
      <c r="DL21" s="1079"/>
      <c r="DM21" s="1079"/>
      <c r="DN21" s="1079"/>
      <c r="DO21" s="1079"/>
      <c r="DP21" s="1079"/>
      <c r="DQ21" s="1079"/>
      <c r="DR21" s="1079"/>
      <c r="DS21" s="1079"/>
      <c r="DT21" s="1079"/>
      <c r="DU21" s="1079"/>
      <c r="DV21" s="1079"/>
      <c r="DW21" s="1079"/>
      <c r="DX21" s="1079"/>
      <c r="DY21" s="1079"/>
      <c r="DZ21" s="1079"/>
      <c r="EA21" s="1079"/>
      <c r="EB21" s="1079"/>
      <c r="EC21" s="1079"/>
      <c r="ED21" s="1079"/>
      <c r="EE21" s="1079"/>
      <c r="EF21" s="1079"/>
      <c r="EG21" s="1079"/>
      <c r="EH21" s="1079"/>
      <c r="EI21" s="1079"/>
      <c r="EJ21" s="1079"/>
      <c r="EK21" s="1079"/>
      <c r="EL21" s="1079"/>
      <c r="EM21" s="1079"/>
      <c r="EN21" s="1079"/>
      <c r="EO21" s="1079"/>
      <c r="EP21" s="1079"/>
      <c r="EQ21" s="1079"/>
      <c r="ER21" s="1079"/>
      <c r="ES21" s="1079"/>
      <c r="ET21" s="1079"/>
      <c r="EU21" s="1079"/>
      <c r="EV21" s="1079"/>
      <c r="EW21" s="1079"/>
      <c r="EX21" s="1079"/>
    </row>
    <row r="22" spans="1:154" ht="15" customHeight="1">
      <c r="A22" s="299" t="s">
        <v>359</v>
      </c>
      <c r="B22" s="300">
        <f>'Anexo I_BAL ORC'!C20</f>
        <v>21406119</v>
      </c>
      <c r="C22" s="301">
        <f>D22-'[21]Anexo VII _ RES PRIM'!D22</f>
        <v>4130950.280000001</v>
      </c>
      <c r="D22" s="304">
        <f>'Anexo I_BAL ORC'!G20</f>
        <v>23039409.14</v>
      </c>
      <c r="E22" s="1267">
        <v>17313459.88</v>
      </c>
      <c r="P22" s="1079"/>
      <c r="Q22" s="1079"/>
      <c r="R22" s="1079"/>
      <c r="S22" s="1079"/>
      <c r="T22" s="1079"/>
      <c r="U22" s="1079"/>
      <c r="V22" s="1080"/>
      <c r="W22" s="1079"/>
      <c r="X22" s="1079"/>
      <c r="Y22" s="1079"/>
      <c r="Z22" s="1079"/>
      <c r="AA22" s="1079"/>
      <c r="AB22" s="1079"/>
      <c r="AC22" s="1079"/>
      <c r="AD22" s="1079"/>
      <c r="AE22" s="1079"/>
      <c r="AF22" s="1079"/>
      <c r="AG22" s="1079"/>
      <c r="AH22" s="1079"/>
      <c r="AI22" s="1079"/>
      <c r="AJ22" s="1079"/>
      <c r="AK22" s="1079"/>
      <c r="AL22" s="1079"/>
      <c r="AM22" s="1079"/>
      <c r="AN22" s="1079"/>
      <c r="AO22" s="1079"/>
      <c r="AP22" s="1079"/>
      <c r="AQ22" s="1079"/>
      <c r="AR22" s="1079"/>
      <c r="AS22" s="1079"/>
      <c r="AT22" s="1079"/>
      <c r="AU22" s="1079"/>
      <c r="AV22" s="1079"/>
      <c r="AW22" s="1079"/>
      <c r="AX22" s="1079"/>
      <c r="AY22" s="1079"/>
      <c r="AZ22" s="1079"/>
      <c r="BA22" s="1079"/>
      <c r="BB22" s="1079"/>
      <c r="BC22" s="1079"/>
      <c r="BD22" s="1079"/>
      <c r="BE22" s="1079"/>
      <c r="BF22" s="1079"/>
      <c r="BG22" s="1079"/>
      <c r="BH22" s="1079"/>
      <c r="BI22" s="1079"/>
      <c r="BJ22" s="1079"/>
      <c r="BK22" s="1079"/>
      <c r="BL22" s="1079"/>
      <c r="BM22" s="1079"/>
      <c r="BN22" s="1079"/>
      <c r="BO22" s="1079"/>
      <c r="BP22" s="1079"/>
      <c r="BQ22" s="1079"/>
      <c r="BR22" s="1079"/>
      <c r="BS22" s="1079"/>
      <c r="BT22" s="1079"/>
      <c r="BU22" s="1079"/>
      <c r="BV22" s="1079"/>
      <c r="BW22" s="1079"/>
      <c r="BX22" s="1079"/>
      <c r="BY22" s="1079"/>
      <c r="BZ22" s="1079"/>
      <c r="CA22" s="1079"/>
      <c r="CB22" s="1079"/>
      <c r="CC22" s="1079"/>
      <c r="CD22" s="1079"/>
      <c r="CE22" s="1079"/>
      <c r="CF22" s="1079"/>
      <c r="CG22" s="1079"/>
      <c r="CH22" s="1079"/>
      <c r="CI22" s="1079"/>
      <c r="CJ22" s="1079"/>
      <c r="CK22" s="1079"/>
      <c r="CL22" s="1079"/>
      <c r="CM22" s="1079"/>
      <c r="CN22" s="1079"/>
      <c r="CO22" s="1079"/>
      <c r="CP22" s="1079"/>
      <c r="CQ22" s="1079"/>
      <c r="CR22" s="1079"/>
      <c r="CS22" s="1079"/>
      <c r="CT22" s="1079"/>
      <c r="CU22" s="1079"/>
      <c r="CV22" s="1079"/>
      <c r="CW22" s="1079"/>
      <c r="CX22" s="1079"/>
      <c r="CY22" s="1079"/>
      <c r="CZ22" s="1079"/>
      <c r="DA22" s="1079"/>
      <c r="DB22" s="1079"/>
      <c r="DC22" s="1079"/>
      <c r="DD22" s="1079"/>
      <c r="DE22" s="1079"/>
      <c r="DF22" s="1079"/>
      <c r="DG22" s="1079"/>
      <c r="DH22" s="1079"/>
      <c r="DI22" s="1079"/>
      <c r="DJ22" s="1079"/>
      <c r="DK22" s="1079"/>
      <c r="DL22" s="1079"/>
      <c r="DM22" s="1079"/>
      <c r="DN22" s="1079"/>
      <c r="DO22" s="1079"/>
      <c r="DP22" s="1079"/>
      <c r="DQ22" s="1079"/>
      <c r="DR22" s="1079"/>
      <c r="DS22" s="1079"/>
      <c r="DT22" s="1079"/>
      <c r="DU22" s="1079"/>
      <c r="DV22" s="1079"/>
      <c r="DW22" s="1079"/>
      <c r="DX22" s="1079"/>
      <c r="DY22" s="1079"/>
      <c r="DZ22" s="1079"/>
      <c r="EA22" s="1079"/>
      <c r="EB22" s="1079"/>
      <c r="EC22" s="1079"/>
      <c r="ED22" s="1079"/>
      <c r="EE22" s="1079"/>
      <c r="EF22" s="1079"/>
      <c r="EG22" s="1079"/>
      <c r="EH22" s="1079"/>
      <c r="EI22" s="1079"/>
      <c r="EJ22" s="1079"/>
      <c r="EK22" s="1079"/>
      <c r="EL22" s="1079"/>
      <c r="EM22" s="1079"/>
      <c r="EN22" s="1079"/>
      <c r="EO22" s="1079"/>
      <c r="EP22" s="1079"/>
      <c r="EQ22" s="1079"/>
      <c r="ER22" s="1079"/>
      <c r="ES22" s="1079"/>
      <c r="ET22" s="1079"/>
      <c r="EU22" s="1079"/>
      <c r="EV22" s="1079"/>
      <c r="EW22" s="1079"/>
      <c r="EX22" s="1079"/>
    </row>
    <row r="23" spans="1:154" s="313" customFormat="1" ht="15" customHeight="1">
      <c r="A23" s="697" t="s">
        <v>224</v>
      </c>
      <c r="B23" s="297">
        <f>B24+B25+B26+B27</f>
        <v>1452895458.49</v>
      </c>
      <c r="C23" s="310">
        <f>C24+C25+C26+C27</f>
        <v>174288358.8400001</v>
      </c>
      <c r="D23" s="298">
        <f>D24+D25+D26+D27</f>
        <v>927597017.8900001</v>
      </c>
      <c r="E23" s="1269">
        <f>E24+E25+E26+E27</f>
        <v>901711353.64</v>
      </c>
      <c r="O23" s="583"/>
      <c r="P23" s="1084"/>
      <c r="Q23" s="1084"/>
      <c r="R23" s="1084"/>
      <c r="S23" s="1084"/>
      <c r="T23" s="1085"/>
      <c r="U23" s="1084"/>
      <c r="V23" s="1084"/>
      <c r="W23" s="1084"/>
      <c r="X23" s="1084"/>
      <c r="Y23" s="1084"/>
      <c r="Z23" s="1084"/>
      <c r="AA23" s="1084"/>
      <c r="AB23" s="1084"/>
      <c r="AC23" s="1084"/>
      <c r="AD23" s="1084"/>
      <c r="AE23" s="1084"/>
      <c r="AF23" s="1084"/>
      <c r="AG23" s="1084"/>
      <c r="AH23" s="1084"/>
      <c r="AI23" s="1084"/>
      <c r="AJ23" s="1084"/>
      <c r="AK23" s="1084"/>
      <c r="AL23" s="1084"/>
      <c r="AM23" s="1084"/>
      <c r="AN23" s="1084"/>
      <c r="AO23" s="1084"/>
      <c r="AP23" s="1084"/>
      <c r="AQ23" s="1084"/>
      <c r="AR23" s="1084"/>
      <c r="AS23" s="1084"/>
      <c r="AT23" s="1084"/>
      <c r="AU23" s="1084"/>
      <c r="AV23" s="1084"/>
      <c r="AW23" s="1084"/>
      <c r="AX23" s="1084"/>
      <c r="AY23" s="1084"/>
      <c r="AZ23" s="1084"/>
      <c r="BA23" s="1084"/>
      <c r="BB23" s="1084"/>
      <c r="BC23" s="1084"/>
      <c r="BD23" s="1084"/>
      <c r="BE23" s="1084"/>
      <c r="BF23" s="1084"/>
      <c r="BG23" s="1084"/>
      <c r="BH23" s="1084"/>
      <c r="BI23" s="1084"/>
      <c r="BJ23" s="1084"/>
      <c r="BK23" s="1084"/>
      <c r="BL23" s="1084"/>
      <c r="BM23" s="1084"/>
      <c r="BN23" s="1084"/>
      <c r="BO23" s="1084"/>
      <c r="BP23" s="1084"/>
      <c r="BQ23" s="1084"/>
      <c r="BR23" s="1084"/>
      <c r="BS23" s="1084"/>
      <c r="BT23" s="1084"/>
      <c r="BU23" s="1084"/>
      <c r="BV23" s="1084"/>
      <c r="BW23" s="1084"/>
      <c r="BX23" s="1084"/>
      <c r="BY23" s="1084"/>
      <c r="BZ23" s="1084"/>
      <c r="CA23" s="1084"/>
      <c r="CB23" s="1084"/>
      <c r="CC23" s="1084"/>
      <c r="CD23" s="1084"/>
      <c r="CE23" s="1084"/>
      <c r="CF23" s="1084"/>
      <c r="CG23" s="1084"/>
      <c r="CH23" s="1084"/>
      <c r="CI23" s="1084"/>
      <c r="CJ23" s="1084"/>
      <c r="CK23" s="1084"/>
      <c r="CL23" s="1084"/>
      <c r="CM23" s="1084"/>
      <c r="CN23" s="1084"/>
      <c r="CO23" s="1084"/>
      <c r="CP23" s="1084"/>
      <c r="CQ23" s="1084"/>
      <c r="CR23" s="1084"/>
      <c r="CS23" s="1084"/>
      <c r="CT23" s="1084"/>
      <c r="CU23" s="1084"/>
      <c r="CV23" s="1084"/>
      <c r="CW23" s="1084"/>
      <c r="CX23" s="1084"/>
      <c r="CY23" s="1084"/>
      <c r="CZ23" s="1084"/>
      <c r="DA23" s="1084"/>
      <c r="DB23" s="1084"/>
      <c r="DC23" s="1084"/>
      <c r="DD23" s="1084"/>
      <c r="DE23" s="1084"/>
      <c r="DF23" s="1084"/>
      <c r="DG23" s="1084"/>
      <c r="DH23" s="1084"/>
      <c r="DI23" s="1084"/>
      <c r="DJ23" s="1084"/>
      <c r="DK23" s="1084"/>
      <c r="DL23" s="1084"/>
      <c r="DM23" s="1084"/>
      <c r="DN23" s="1084"/>
      <c r="DO23" s="1084"/>
      <c r="DP23" s="1084"/>
      <c r="DQ23" s="1084"/>
      <c r="DR23" s="1084"/>
      <c r="DS23" s="1084"/>
      <c r="DT23" s="1084"/>
      <c r="DU23" s="1084"/>
      <c r="DV23" s="1084"/>
      <c r="DW23" s="1084"/>
      <c r="DX23" s="1084"/>
      <c r="DY23" s="1084"/>
      <c r="DZ23" s="1084"/>
      <c r="EA23" s="1084"/>
      <c r="EB23" s="1084"/>
      <c r="EC23" s="1084"/>
      <c r="ED23" s="1084"/>
      <c r="EE23" s="1084"/>
      <c r="EF23" s="1084"/>
      <c r="EG23" s="1084"/>
      <c r="EH23" s="1084"/>
      <c r="EI23" s="1084"/>
      <c r="EJ23" s="1084"/>
      <c r="EK23" s="1084"/>
      <c r="EL23" s="1084"/>
      <c r="EM23" s="1084"/>
      <c r="EN23" s="1084"/>
      <c r="EO23" s="1084"/>
      <c r="EP23" s="1084"/>
      <c r="EQ23" s="1084"/>
      <c r="ER23" s="1084"/>
      <c r="ES23" s="1084"/>
      <c r="ET23" s="1084"/>
      <c r="EU23" s="1084"/>
      <c r="EV23" s="1084"/>
      <c r="EW23" s="1084"/>
      <c r="EX23" s="1084"/>
    </row>
    <row r="24" spans="1:154" s="477" customFormat="1" ht="15" customHeight="1">
      <c r="A24" s="299" t="s">
        <v>360</v>
      </c>
      <c r="B24" s="300">
        <f>'Anexo III _ RCL'!Q21</f>
        <v>509780102</v>
      </c>
      <c r="C24" s="301">
        <f>D24-'[21]Anexo VII _ RES PRIM'!D24</f>
        <v>35065352.359999985</v>
      </c>
      <c r="D24" s="304">
        <f>275542054.89-55108410.72</f>
        <v>220433644.17</v>
      </c>
      <c r="E24" s="1267">
        <v>215193616.83</v>
      </c>
      <c r="O24" s="305"/>
      <c r="P24" s="1079"/>
      <c r="Q24" s="1079"/>
      <c r="R24" s="1079"/>
      <c r="S24" s="1079"/>
      <c r="T24" s="1081"/>
      <c r="U24" s="1079"/>
      <c r="V24" s="1079"/>
      <c r="W24" s="1079"/>
      <c r="X24" s="1079"/>
      <c r="Y24" s="1079"/>
      <c r="Z24" s="1079"/>
      <c r="AA24" s="1079"/>
      <c r="AB24" s="1079"/>
      <c r="AC24" s="1079"/>
      <c r="AD24" s="1079"/>
      <c r="AE24" s="1079"/>
      <c r="AF24" s="1079"/>
      <c r="AG24" s="1079"/>
      <c r="AH24" s="1079"/>
      <c r="AI24" s="1079"/>
      <c r="AJ24" s="1079"/>
      <c r="AK24" s="1079"/>
      <c r="AL24" s="1079"/>
      <c r="AM24" s="1079"/>
      <c r="AN24" s="1079"/>
      <c r="AO24" s="1079"/>
      <c r="AP24" s="1079"/>
      <c r="AQ24" s="1079"/>
      <c r="AR24" s="1079"/>
      <c r="AS24" s="1079"/>
      <c r="AT24" s="1079"/>
      <c r="AU24" s="1079"/>
      <c r="AV24" s="1079"/>
      <c r="AW24" s="1079"/>
      <c r="AX24" s="1079"/>
      <c r="AY24" s="1079"/>
      <c r="AZ24" s="1079"/>
      <c r="BA24" s="1079"/>
      <c r="BB24" s="1079"/>
      <c r="BC24" s="1079"/>
      <c r="BD24" s="1079"/>
      <c r="BE24" s="1079"/>
      <c r="BF24" s="1079"/>
      <c r="BG24" s="1079"/>
      <c r="BH24" s="1079"/>
      <c r="BI24" s="1079"/>
      <c r="BJ24" s="1079"/>
      <c r="BK24" s="1079"/>
      <c r="BL24" s="1079"/>
      <c r="BM24" s="1079"/>
      <c r="BN24" s="1079"/>
      <c r="BO24" s="1079"/>
      <c r="BP24" s="1079"/>
      <c r="BQ24" s="1079"/>
      <c r="BR24" s="1079"/>
      <c r="BS24" s="1079"/>
      <c r="BT24" s="1079"/>
      <c r="BU24" s="1079"/>
      <c r="BV24" s="1079"/>
      <c r="BW24" s="1079"/>
      <c r="BX24" s="1079"/>
      <c r="BY24" s="1079"/>
      <c r="BZ24" s="1079"/>
      <c r="CA24" s="1079"/>
      <c r="CB24" s="1079"/>
      <c r="CC24" s="1079"/>
      <c r="CD24" s="1079"/>
      <c r="CE24" s="1079"/>
      <c r="CF24" s="1079"/>
      <c r="CG24" s="1079"/>
      <c r="CH24" s="1079"/>
      <c r="CI24" s="1079"/>
      <c r="CJ24" s="1079"/>
      <c r="CK24" s="1079"/>
      <c r="CL24" s="1079"/>
      <c r="CM24" s="1079"/>
      <c r="CN24" s="1079"/>
      <c r="CO24" s="1079"/>
      <c r="CP24" s="1079"/>
      <c r="CQ24" s="1079"/>
      <c r="CR24" s="1079"/>
      <c r="CS24" s="1079"/>
      <c r="CT24" s="1079"/>
      <c r="CU24" s="1079"/>
      <c r="CV24" s="1079"/>
      <c r="CW24" s="1079"/>
      <c r="CX24" s="1079"/>
      <c r="CY24" s="1079"/>
      <c r="CZ24" s="1079"/>
      <c r="DA24" s="1079"/>
      <c r="DB24" s="1079"/>
      <c r="DC24" s="1079"/>
      <c r="DD24" s="1079"/>
      <c r="DE24" s="1079"/>
      <c r="DF24" s="1079"/>
      <c r="DG24" s="1079"/>
      <c r="DH24" s="1079"/>
      <c r="DI24" s="1079"/>
      <c r="DJ24" s="1079"/>
      <c r="DK24" s="1079"/>
      <c r="DL24" s="1079"/>
      <c r="DM24" s="1079"/>
      <c r="DN24" s="1079"/>
      <c r="DO24" s="1079"/>
      <c r="DP24" s="1079"/>
      <c r="DQ24" s="1079"/>
      <c r="DR24" s="1079"/>
      <c r="DS24" s="1079"/>
      <c r="DT24" s="1079"/>
      <c r="DU24" s="1079"/>
      <c r="DV24" s="1079"/>
      <c r="DW24" s="1079"/>
      <c r="DX24" s="1079"/>
      <c r="DY24" s="1079"/>
      <c r="DZ24" s="1079"/>
      <c r="EA24" s="1079"/>
      <c r="EB24" s="1079"/>
      <c r="EC24" s="1079"/>
      <c r="ED24" s="1079"/>
      <c r="EE24" s="1079"/>
      <c r="EF24" s="1079"/>
      <c r="EG24" s="1079"/>
      <c r="EH24" s="1079"/>
      <c r="EI24" s="1079"/>
      <c r="EJ24" s="1079"/>
      <c r="EK24" s="1079"/>
      <c r="EL24" s="1079"/>
      <c r="EM24" s="1079"/>
      <c r="EN24" s="1079"/>
      <c r="EO24" s="1079"/>
      <c r="EP24" s="1079"/>
      <c r="EQ24" s="1079"/>
      <c r="ER24" s="1079"/>
      <c r="ES24" s="1079"/>
      <c r="ET24" s="1079"/>
      <c r="EU24" s="1079"/>
      <c r="EV24" s="1079"/>
      <c r="EW24" s="1079"/>
      <c r="EX24" s="1079"/>
    </row>
    <row r="25" spans="1:154" s="477" customFormat="1" ht="15" customHeight="1">
      <c r="A25" s="299" t="s">
        <v>361</v>
      </c>
      <c r="B25" s="300">
        <f>'Anexo III _ RCL'!Q22</f>
        <v>498791966</v>
      </c>
      <c r="C25" s="301">
        <f>D25-'[21]Anexo VII _ RES PRIM'!D25</f>
        <v>51812564.75000003</v>
      </c>
      <c r="D25" s="304">
        <f>300761069.36-60152213.6</f>
        <v>240608855.76000002</v>
      </c>
      <c r="E25" s="1267">
        <v>219011523.56</v>
      </c>
      <c r="O25" s="305"/>
      <c r="P25" s="1079"/>
      <c r="Q25" s="1079"/>
      <c r="R25" s="1079"/>
      <c r="S25" s="1079"/>
      <c r="T25" s="1080"/>
      <c r="U25" s="1079"/>
      <c r="V25" s="1081"/>
      <c r="W25" s="1079"/>
      <c r="X25" s="1079"/>
      <c r="Y25" s="1079"/>
      <c r="Z25" s="1079"/>
      <c r="AA25" s="1079"/>
      <c r="AB25" s="1079"/>
      <c r="AC25" s="1079"/>
      <c r="AD25" s="1079"/>
      <c r="AE25" s="1079"/>
      <c r="AF25" s="1079"/>
      <c r="AG25" s="1079"/>
      <c r="AH25" s="1079"/>
      <c r="AI25" s="1079"/>
      <c r="AJ25" s="1079"/>
      <c r="AK25" s="1079"/>
      <c r="AL25" s="1079"/>
      <c r="AM25" s="1079"/>
      <c r="AN25" s="1079"/>
      <c r="AO25" s="1079"/>
      <c r="AP25" s="1079"/>
      <c r="AQ25" s="1079"/>
      <c r="AR25" s="1079"/>
      <c r="AS25" s="1079"/>
      <c r="AT25" s="1079"/>
      <c r="AU25" s="1079"/>
      <c r="AV25" s="1079"/>
      <c r="AW25" s="1079"/>
      <c r="AX25" s="1079"/>
      <c r="AY25" s="1079"/>
      <c r="AZ25" s="1079"/>
      <c r="BA25" s="1079"/>
      <c r="BB25" s="1079"/>
      <c r="BC25" s="1079"/>
      <c r="BD25" s="1079"/>
      <c r="BE25" s="1079"/>
      <c r="BF25" s="1079"/>
      <c r="BG25" s="1079"/>
      <c r="BH25" s="1079"/>
      <c r="BI25" s="1079"/>
      <c r="BJ25" s="1079"/>
      <c r="BK25" s="1079"/>
      <c r="BL25" s="1079"/>
      <c r="BM25" s="1079"/>
      <c r="BN25" s="1079"/>
      <c r="BO25" s="1079"/>
      <c r="BP25" s="1079"/>
      <c r="BQ25" s="1079"/>
      <c r="BR25" s="1079"/>
      <c r="BS25" s="1079"/>
      <c r="BT25" s="1079"/>
      <c r="BU25" s="1079"/>
      <c r="BV25" s="1079"/>
      <c r="BW25" s="1079"/>
      <c r="BX25" s="1079"/>
      <c r="BY25" s="1079"/>
      <c r="BZ25" s="1079"/>
      <c r="CA25" s="1079"/>
      <c r="CB25" s="1079"/>
      <c r="CC25" s="1079"/>
      <c r="CD25" s="1079"/>
      <c r="CE25" s="1079"/>
      <c r="CF25" s="1079"/>
      <c r="CG25" s="1079"/>
      <c r="CH25" s="1079"/>
      <c r="CI25" s="1079"/>
      <c r="CJ25" s="1079"/>
      <c r="CK25" s="1079"/>
      <c r="CL25" s="1079"/>
      <c r="CM25" s="1079"/>
      <c r="CN25" s="1079"/>
      <c r="CO25" s="1079"/>
      <c r="CP25" s="1079"/>
      <c r="CQ25" s="1079"/>
      <c r="CR25" s="1079"/>
      <c r="CS25" s="1079"/>
      <c r="CT25" s="1079"/>
      <c r="CU25" s="1079"/>
      <c r="CV25" s="1079"/>
      <c r="CW25" s="1079"/>
      <c r="CX25" s="1079"/>
      <c r="CY25" s="1079"/>
      <c r="CZ25" s="1079"/>
      <c r="DA25" s="1079"/>
      <c r="DB25" s="1079"/>
      <c r="DC25" s="1079"/>
      <c r="DD25" s="1079"/>
      <c r="DE25" s="1079"/>
      <c r="DF25" s="1079"/>
      <c r="DG25" s="1079"/>
      <c r="DH25" s="1079"/>
      <c r="DI25" s="1079"/>
      <c r="DJ25" s="1079"/>
      <c r="DK25" s="1079"/>
      <c r="DL25" s="1079"/>
      <c r="DM25" s="1079"/>
      <c r="DN25" s="1079"/>
      <c r="DO25" s="1079"/>
      <c r="DP25" s="1079"/>
      <c r="DQ25" s="1079"/>
      <c r="DR25" s="1079"/>
      <c r="DS25" s="1079"/>
      <c r="DT25" s="1079"/>
      <c r="DU25" s="1079"/>
      <c r="DV25" s="1079"/>
      <c r="DW25" s="1079"/>
      <c r="DX25" s="1079"/>
      <c r="DY25" s="1079"/>
      <c r="DZ25" s="1079"/>
      <c r="EA25" s="1079"/>
      <c r="EB25" s="1079"/>
      <c r="EC25" s="1079"/>
      <c r="ED25" s="1079"/>
      <c r="EE25" s="1079"/>
      <c r="EF25" s="1079"/>
      <c r="EG25" s="1079"/>
      <c r="EH25" s="1079"/>
      <c r="EI25" s="1079"/>
      <c r="EJ25" s="1079"/>
      <c r="EK25" s="1079"/>
      <c r="EL25" s="1079"/>
      <c r="EM25" s="1079"/>
      <c r="EN25" s="1079"/>
      <c r="EO25" s="1079"/>
      <c r="EP25" s="1079"/>
      <c r="EQ25" s="1079"/>
      <c r="ER25" s="1079"/>
      <c r="ES25" s="1079"/>
      <c r="ET25" s="1079"/>
      <c r="EU25" s="1079"/>
      <c r="EV25" s="1079"/>
      <c r="EW25" s="1079"/>
      <c r="EX25" s="1079"/>
    </row>
    <row r="26" spans="1:154" s="305" customFormat="1" ht="15" customHeight="1">
      <c r="A26" s="299" t="s">
        <v>362</v>
      </c>
      <c r="B26" s="1235">
        <f>'Anexo I_BAL ORC'!C29</f>
        <v>14790178.62</v>
      </c>
      <c r="C26" s="301">
        <f>D26-'[21]Anexo VII _ RES PRIM'!D26</f>
        <v>788795.7999999998</v>
      </c>
      <c r="D26" s="304">
        <f>'Anexo I_BAL ORC'!G29</f>
        <v>5995122.25</v>
      </c>
      <c r="E26" s="1267">
        <v>16333013.29</v>
      </c>
      <c r="P26" s="1080"/>
      <c r="Q26" s="1079"/>
      <c r="R26" s="1079"/>
      <c r="S26" s="1079"/>
      <c r="T26" s="1081"/>
      <c r="U26" s="1083"/>
      <c r="V26" s="1079"/>
      <c r="W26" s="1079"/>
      <c r="X26" s="1079"/>
      <c r="Y26" s="1079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J26" s="1079"/>
      <c r="AK26" s="1079"/>
      <c r="AL26" s="1079"/>
      <c r="AM26" s="1079"/>
      <c r="AN26" s="1079"/>
      <c r="AO26" s="1079"/>
      <c r="AP26" s="1079"/>
      <c r="AQ26" s="1079"/>
      <c r="AR26" s="1079"/>
      <c r="AS26" s="1079"/>
      <c r="AT26" s="1079"/>
      <c r="AU26" s="1079"/>
      <c r="AV26" s="1079"/>
      <c r="AW26" s="1079"/>
      <c r="AX26" s="1079"/>
      <c r="AY26" s="1079"/>
      <c r="AZ26" s="1079"/>
      <c r="BA26" s="1079"/>
      <c r="BB26" s="1079"/>
      <c r="BC26" s="1079"/>
      <c r="BD26" s="1079"/>
      <c r="BE26" s="1079"/>
      <c r="BF26" s="1079"/>
      <c r="BG26" s="1079"/>
      <c r="BH26" s="1079"/>
      <c r="BI26" s="1079"/>
      <c r="BJ26" s="1079"/>
      <c r="BK26" s="1079"/>
      <c r="BL26" s="1079"/>
      <c r="BM26" s="1079"/>
      <c r="BN26" s="1079"/>
      <c r="BO26" s="1079"/>
      <c r="BP26" s="1079"/>
      <c r="BQ26" s="1079"/>
      <c r="BR26" s="1079"/>
      <c r="BS26" s="1079"/>
      <c r="BT26" s="1079"/>
      <c r="BU26" s="1079"/>
      <c r="BV26" s="1079"/>
      <c r="BW26" s="1079"/>
      <c r="BX26" s="1079"/>
      <c r="BY26" s="1079"/>
      <c r="BZ26" s="1079"/>
      <c r="CA26" s="1079"/>
      <c r="CB26" s="1079"/>
      <c r="CC26" s="1079"/>
      <c r="CD26" s="1079"/>
      <c r="CE26" s="1079"/>
      <c r="CF26" s="1079"/>
      <c r="CG26" s="1079"/>
      <c r="CH26" s="1079"/>
      <c r="CI26" s="1079"/>
      <c r="CJ26" s="1079"/>
      <c r="CK26" s="1079"/>
      <c r="CL26" s="1079"/>
      <c r="CM26" s="1079"/>
      <c r="CN26" s="1079"/>
      <c r="CO26" s="1079"/>
      <c r="CP26" s="1079"/>
      <c r="CQ26" s="1079"/>
      <c r="CR26" s="1079"/>
      <c r="CS26" s="1079"/>
      <c r="CT26" s="1079"/>
      <c r="CU26" s="1079"/>
      <c r="CV26" s="1079"/>
      <c r="CW26" s="1079"/>
      <c r="CX26" s="1079"/>
      <c r="CY26" s="1079"/>
      <c r="CZ26" s="1079"/>
      <c r="DA26" s="1079"/>
      <c r="DB26" s="1079"/>
      <c r="DC26" s="1079"/>
      <c r="DD26" s="1079"/>
      <c r="DE26" s="1079"/>
      <c r="DF26" s="1079"/>
      <c r="DG26" s="1079"/>
      <c r="DH26" s="1079"/>
      <c r="DI26" s="1079"/>
      <c r="DJ26" s="1079"/>
      <c r="DK26" s="1079"/>
      <c r="DL26" s="1079"/>
      <c r="DM26" s="1079"/>
      <c r="DN26" s="1079"/>
      <c r="DO26" s="1079"/>
      <c r="DP26" s="1079"/>
      <c r="DQ26" s="1079"/>
      <c r="DR26" s="1079"/>
      <c r="DS26" s="1079"/>
      <c r="DT26" s="1079"/>
      <c r="DU26" s="1079"/>
      <c r="DV26" s="1079"/>
      <c r="DW26" s="1079"/>
      <c r="DX26" s="1079"/>
      <c r="DY26" s="1079"/>
      <c r="DZ26" s="1079"/>
      <c r="EA26" s="1079"/>
      <c r="EB26" s="1079"/>
      <c r="EC26" s="1079"/>
      <c r="ED26" s="1079"/>
      <c r="EE26" s="1079"/>
      <c r="EF26" s="1079"/>
      <c r="EG26" s="1079"/>
      <c r="EH26" s="1079"/>
      <c r="EI26" s="1079"/>
      <c r="EJ26" s="1079"/>
      <c r="EK26" s="1079"/>
      <c r="EL26" s="1079"/>
      <c r="EM26" s="1079"/>
      <c r="EN26" s="1079"/>
      <c r="EO26" s="1079"/>
      <c r="EP26" s="1079"/>
      <c r="EQ26" s="1079"/>
      <c r="ER26" s="1079"/>
      <c r="ES26" s="1079"/>
      <c r="ET26" s="1079"/>
      <c r="EU26" s="1079"/>
      <c r="EV26" s="1079"/>
      <c r="EW26" s="1079"/>
      <c r="EX26" s="1079"/>
    </row>
    <row r="27" spans="1:154" s="477" customFormat="1" ht="15" customHeight="1">
      <c r="A27" s="299" t="s">
        <v>363</v>
      </c>
      <c r="B27" s="300">
        <f>1668698116.49-1023362246.62-215802658</f>
        <v>429533211.87</v>
      </c>
      <c r="C27" s="301">
        <f>D27-'[21]Anexo VII _ RES PRIM'!D27</f>
        <v>86621645.93000007</v>
      </c>
      <c r="D27" s="1024">
        <f>1056966635.37-467037622.18-129369617.48</f>
        <v>460559395.71000004</v>
      </c>
      <c r="E27" s="1267">
        <v>451173199.96</v>
      </c>
      <c r="O27" s="305"/>
      <c r="P27" s="1079"/>
      <c r="Q27" s="1079"/>
      <c r="R27" s="1079"/>
      <c r="S27" s="1079"/>
      <c r="T27" s="1081"/>
      <c r="U27" s="1079"/>
      <c r="V27" s="1081"/>
      <c r="W27" s="1079"/>
      <c r="X27" s="1079"/>
      <c r="Y27" s="1079"/>
      <c r="Z27" s="1079"/>
      <c r="AA27" s="1079"/>
      <c r="AB27" s="1079"/>
      <c r="AC27" s="1079"/>
      <c r="AD27" s="1079"/>
      <c r="AE27" s="1079"/>
      <c r="AF27" s="1079"/>
      <c r="AG27" s="1079"/>
      <c r="AH27" s="1079"/>
      <c r="AI27" s="1079"/>
      <c r="AJ27" s="1079"/>
      <c r="AK27" s="1079"/>
      <c r="AL27" s="1079"/>
      <c r="AM27" s="1079"/>
      <c r="AN27" s="1079"/>
      <c r="AO27" s="1079"/>
      <c r="AP27" s="1079"/>
      <c r="AQ27" s="1079"/>
      <c r="AR27" s="1079"/>
      <c r="AS27" s="1079"/>
      <c r="AT27" s="1079"/>
      <c r="AU27" s="1079"/>
      <c r="AV27" s="1079"/>
      <c r="AW27" s="1079"/>
      <c r="AX27" s="1079"/>
      <c r="AY27" s="1079"/>
      <c r="AZ27" s="1079"/>
      <c r="BA27" s="1079"/>
      <c r="BB27" s="1079"/>
      <c r="BC27" s="1079"/>
      <c r="BD27" s="1079"/>
      <c r="BE27" s="1079"/>
      <c r="BF27" s="1079"/>
      <c r="BG27" s="1079"/>
      <c r="BH27" s="1079"/>
      <c r="BI27" s="1079"/>
      <c r="BJ27" s="1079"/>
      <c r="BK27" s="1079"/>
      <c r="BL27" s="1079"/>
      <c r="BM27" s="1079"/>
      <c r="BN27" s="1079"/>
      <c r="BO27" s="1079"/>
      <c r="BP27" s="1079"/>
      <c r="BQ27" s="1079"/>
      <c r="BR27" s="1079"/>
      <c r="BS27" s="1079"/>
      <c r="BT27" s="1079"/>
      <c r="BU27" s="1079"/>
      <c r="BV27" s="1079"/>
      <c r="BW27" s="1079"/>
      <c r="BX27" s="1079"/>
      <c r="BY27" s="1079"/>
      <c r="BZ27" s="1079"/>
      <c r="CA27" s="1079"/>
      <c r="CB27" s="1079"/>
      <c r="CC27" s="1079"/>
      <c r="CD27" s="1079"/>
      <c r="CE27" s="1079"/>
      <c r="CF27" s="1079"/>
      <c r="CG27" s="1079"/>
      <c r="CH27" s="1079"/>
      <c r="CI27" s="1079"/>
      <c r="CJ27" s="1079"/>
      <c r="CK27" s="1079"/>
      <c r="CL27" s="1079"/>
      <c r="CM27" s="1079"/>
      <c r="CN27" s="1079"/>
      <c r="CO27" s="1079"/>
      <c r="CP27" s="1079"/>
      <c r="CQ27" s="1079"/>
      <c r="CR27" s="1079"/>
      <c r="CS27" s="1079"/>
      <c r="CT27" s="1079"/>
      <c r="CU27" s="1079"/>
      <c r="CV27" s="1079"/>
      <c r="CW27" s="1079"/>
      <c r="CX27" s="1079"/>
      <c r="CY27" s="1079"/>
      <c r="CZ27" s="1079"/>
      <c r="DA27" s="1079"/>
      <c r="DB27" s="1079"/>
      <c r="DC27" s="1079"/>
      <c r="DD27" s="1079"/>
      <c r="DE27" s="1079"/>
      <c r="DF27" s="1079"/>
      <c r="DG27" s="1079"/>
      <c r="DH27" s="1079"/>
      <c r="DI27" s="1079"/>
      <c r="DJ27" s="1079"/>
      <c r="DK27" s="1079"/>
      <c r="DL27" s="1079"/>
      <c r="DM27" s="1079"/>
      <c r="DN27" s="1079"/>
      <c r="DO27" s="1079"/>
      <c r="DP27" s="1079"/>
      <c r="DQ27" s="1079"/>
      <c r="DR27" s="1079"/>
      <c r="DS27" s="1079"/>
      <c r="DT27" s="1079"/>
      <c r="DU27" s="1079"/>
      <c r="DV27" s="1079"/>
      <c r="DW27" s="1079"/>
      <c r="DX27" s="1079"/>
      <c r="DY27" s="1079"/>
      <c r="DZ27" s="1079"/>
      <c r="EA27" s="1079"/>
      <c r="EB27" s="1079"/>
      <c r="EC27" s="1079"/>
      <c r="ED27" s="1079"/>
      <c r="EE27" s="1079"/>
      <c r="EF27" s="1079"/>
      <c r="EG27" s="1079"/>
      <c r="EH27" s="1079"/>
      <c r="EI27" s="1079"/>
      <c r="EJ27" s="1079"/>
      <c r="EK27" s="1079"/>
      <c r="EL27" s="1079"/>
      <c r="EM27" s="1079"/>
      <c r="EN27" s="1079"/>
      <c r="EO27" s="1079"/>
      <c r="EP27" s="1079"/>
      <c r="EQ27" s="1079"/>
      <c r="ER27" s="1079"/>
      <c r="ES27" s="1079"/>
      <c r="ET27" s="1079"/>
      <c r="EU27" s="1079"/>
      <c r="EV27" s="1079"/>
      <c r="EW27" s="1079"/>
      <c r="EX27" s="1079"/>
    </row>
    <row r="28" spans="1:154" s="313" customFormat="1" ht="15" customHeight="1">
      <c r="A28" s="697" t="s">
        <v>364</v>
      </c>
      <c r="B28" s="297">
        <f>B29+B30</f>
        <v>55314816</v>
      </c>
      <c r="C28" s="310">
        <f>C29+C30</f>
        <v>6129026.280000001</v>
      </c>
      <c r="D28" s="298">
        <f>D29+D30</f>
        <v>38451946.39</v>
      </c>
      <c r="E28" s="1266">
        <f>E29+E30</f>
        <v>35995696.82</v>
      </c>
      <c r="O28" s="583"/>
      <c r="P28" s="1084"/>
      <c r="Q28" s="1084"/>
      <c r="R28" s="1084"/>
      <c r="S28" s="1084"/>
      <c r="T28" s="1086"/>
      <c r="U28" s="1084"/>
      <c r="V28" s="1084"/>
      <c r="W28" s="1084"/>
      <c r="X28" s="1084"/>
      <c r="Y28" s="1084"/>
      <c r="Z28" s="1084"/>
      <c r="AA28" s="1084"/>
      <c r="AB28" s="1084"/>
      <c r="AC28" s="1084"/>
      <c r="AD28" s="1084"/>
      <c r="AE28" s="1084"/>
      <c r="AF28" s="1084"/>
      <c r="AG28" s="1084"/>
      <c r="AH28" s="1084"/>
      <c r="AI28" s="1084"/>
      <c r="AJ28" s="1084"/>
      <c r="AK28" s="1084"/>
      <c r="AL28" s="1084"/>
      <c r="AM28" s="1084"/>
      <c r="AN28" s="1084"/>
      <c r="AO28" s="1084"/>
      <c r="AP28" s="1084"/>
      <c r="AQ28" s="1084"/>
      <c r="AR28" s="1084"/>
      <c r="AS28" s="1084"/>
      <c r="AT28" s="1084"/>
      <c r="AU28" s="1084"/>
      <c r="AV28" s="1084"/>
      <c r="AW28" s="1084"/>
      <c r="AX28" s="1084"/>
      <c r="AY28" s="1084"/>
      <c r="AZ28" s="1084"/>
      <c r="BA28" s="1084"/>
      <c r="BB28" s="1084"/>
      <c r="BC28" s="1084"/>
      <c r="BD28" s="1084"/>
      <c r="BE28" s="1084"/>
      <c r="BF28" s="1084"/>
      <c r="BG28" s="1084"/>
      <c r="BH28" s="1084"/>
      <c r="BI28" s="1084"/>
      <c r="BJ28" s="1084"/>
      <c r="BK28" s="1084"/>
      <c r="BL28" s="1084"/>
      <c r="BM28" s="1084"/>
      <c r="BN28" s="1084"/>
      <c r="BO28" s="1084"/>
      <c r="BP28" s="1084"/>
      <c r="BQ28" s="1084"/>
      <c r="BR28" s="1084"/>
      <c r="BS28" s="1084"/>
      <c r="BT28" s="1084"/>
      <c r="BU28" s="1084"/>
      <c r="BV28" s="1084"/>
      <c r="BW28" s="1084"/>
      <c r="BX28" s="1084"/>
      <c r="BY28" s="1084"/>
      <c r="BZ28" s="1084"/>
      <c r="CA28" s="1084"/>
      <c r="CB28" s="1084"/>
      <c r="CC28" s="1084"/>
      <c r="CD28" s="1084"/>
      <c r="CE28" s="1084"/>
      <c r="CF28" s="1084"/>
      <c r="CG28" s="1084"/>
      <c r="CH28" s="1084"/>
      <c r="CI28" s="1084"/>
      <c r="CJ28" s="1084"/>
      <c r="CK28" s="1084"/>
      <c r="CL28" s="1084"/>
      <c r="CM28" s="1084"/>
      <c r="CN28" s="1084"/>
      <c r="CO28" s="1084"/>
      <c r="CP28" s="1084"/>
      <c r="CQ28" s="1084"/>
      <c r="CR28" s="1084"/>
      <c r="CS28" s="1084"/>
      <c r="CT28" s="1084"/>
      <c r="CU28" s="1084"/>
      <c r="CV28" s="1084"/>
      <c r="CW28" s="1084"/>
      <c r="CX28" s="1084"/>
      <c r="CY28" s="1084"/>
      <c r="CZ28" s="1084"/>
      <c r="DA28" s="1084"/>
      <c r="DB28" s="1084"/>
      <c r="DC28" s="1084"/>
      <c r="DD28" s="1084"/>
      <c r="DE28" s="1084"/>
      <c r="DF28" s="1084"/>
      <c r="DG28" s="1084"/>
      <c r="DH28" s="1084"/>
      <c r="DI28" s="1084"/>
      <c r="DJ28" s="1084"/>
      <c r="DK28" s="1084"/>
      <c r="DL28" s="1084"/>
      <c r="DM28" s="1084"/>
      <c r="DN28" s="1084"/>
      <c r="DO28" s="1084"/>
      <c r="DP28" s="1084"/>
      <c r="DQ28" s="1084"/>
      <c r="DR28" s="1084"/>
      <c r="DS28" s="1084"/>
      <c r="DT28" s="1084"/>
      <c r="DU28" s="1084"/>
      <c r="DV28" s="1084"/>
      <c r="DW28" s="1084"/>
      <c r="DX28" s="1084"/>
      <c r="DY28" s="1084"/>
      <c r="DZ28" s="1084"/>
      <c r="EA28" s="1084"/>
      <c r="EB28" s="1084"/>
      <c r="EC28" s="1084"/>
      <c r="ED28" s="1084"/>
      <c r="EE28" s="1084"/>
      <c r="EF28" s="1084"/>
      <c r="EG28" s="1084"/>
      <c r="EH28" s="1084"/>
      <c r="EI28" s="1084"/>
      <c r="EJ28" s="1084"/>
      <c r="EK28" s="1084"/>
      <c r="EL28" s="1084"/>
      <c r="EM28" s="1084"/>
      <c r="EN28" s="1084"/>
      <c r="EO28" s="1084"/>
      <c r="EP28" s="1084"/>
      <c r="EQ28" s="1084"/>
      <c r="ER28" s="1084"/>
      <c r="ES28" s="1084"/>
      <c r="ET28" s="1084"/>
      <c r="EU28" s="1084"/>
      <c r="EV28" s="1084"/>
      <c r="EW28" s="1084"/>
      <c r="EX28" s="1084"/>
    </row>
    <row r="29" spans="1:154" ht="15" customHeight="1">
      <c r="A29" s="303" t="s">
        <v>365</v>
      </c>
      <c r="B29" s="300">
        <f>'Anexo I_BAL ORC'!C33</f>
        <v>20547220</v>
      </c>
      <c r="C29" s="301">
        <f>D29-'[21]Anexo VII _ RES PRIM'!D29</f>
        <v>1313111.4499999993</v>
      </c>
      <c r="D29" s="304">
        <f>'Anexo I_BAL ORC'!G33</f>
        <v>10915248.43</v>
      </c>
      <c r="E29" s="1267">
        <v>13544080.43</v>
      </c>
      <c r="P29" s="1079"/>
      <c r="Q29" s="1079"/>
      <c r="R29" s="1079"/>
      <c r="S29" s="1079"/>
      <c r="T29" s="1079"/>
      <c r="U29" s="1079"/>
      <c r="V29" s="1079"/>
      <c r="W29" s="1079"/>
      <c r="X29" s="1079"/>
      <c r="Y29" s="1079"/>
      <c r="Z29" s="1079"/>
      <c r="AA29" s="1079"/>
      <c r="AB29" s="1079"/>
      <c r="AC29" s="1079"/>
      <c r="AD29" s="1079"/>
      <c r="AE29" s="1079"/>
      <c r="AF29" s="1079"/>
      <c r="AG29" s="1079"/>
      <c r="AH29" s="1079"/>
      <c r="AI29" s="1079"/>
      <c r="AJ29" s="1079"/>
      <c r="AK29" s="1079"/>
      <c r="AL29" s="1079"/>
      <c r="AM29" s="1079"/>
      <c r="AN29" s="1079"/>
      <c r="AO29" s="1079"/>
      <c r="AP29" s="1079"/>
      <c r="AQ29" s="1079"/>
      <c r="AR29" s="1079"/>
      <c r="AS29" s="1079"/>
      <c r="AT29" s="1079"/>
      <c r="AU29" s="1079"/>
      <c r="AV29" s="1079"/>
      <c r="AW29" s="1079"/>
      <c r="AX29" s="1079"/>
      <c r="AY29" s="1079"/>
      <c r="AZ29" s="1079"/>
      <c r="BA29" s="1079"/>
      <c r="BB29" s="1079"/>
      <c r="BC29" s="1079"/>
      <c r="BD29" s="1079"/>
      <c r="BE29" s="1079"/>
      <c r="BF29" s="1079"/>
      <c r="BG29" s="1079"/>
      <c r="BH29" s="1079"/>
      <c r="BI29" s="1079"/>
      <c r="BJ29" s="1079"/>
      <c r="BK29" s="1079"/>
      <c r="BL29" s="1079"/>
      <c r="BM29" s="1079"/>
      <c r="BN29" s="1079"/>
      <c r="BO29" s="1079"/>
      <c r="BP29" s="1079"/>
      <c r="BQ29" s="1079"/>
      <c r="BR29" s="1079"/>
      <c r="BS29" s="1079"/>
      <c r="BT29" s="1079"/>
      <c r="BU29" s="1079"/>
      <c r="BV29" s="1079"/>
      <c r="BW29" s="1079"/>
      <c r="BX29" s="1079"/>
      <c r="BY29" s="1079"/>
      <c r="BZ29" s="1079"/>
      <c r="CA29" s="1079"/>
      <c r="CB29" s="1079"/>
      <c r="CC29" s="1079"/>
      <c r="CD29" s="1079"/>
      <c r="CE29" s="1079"/>
      <c r="CF29" s="1079"/>
      <c r="CG29" s="1079"/>
      <c r="CH29" s="1079"/>
      <c r="CI29" s="1079"/>
      <c r="CJ29" s="1079"/>
      <c r="CK29" s="1079"/>
      <c r="CL29" s="1079"/>
      <c r="CM29" s="1079"/>
      <c r="CN29" s="1079"/>
      <c r="CO29" s="1079"/>
      <c r="CP29" s="1079"/>
      <c r="CQ29" s="1079"/>
      <c r="CR29" s="1079"/>
      <c r="CS29" s="1079"/>
      <c r="CT29" s="1079"/>
      <c r="CU29" s="1079"/>
      <c r="CV29" s="1079"/>
      <c r="CW29" s="1079"/>
      <c r="CX29" s="1079"/>
      <c r="CY29" s="1079"/>
      <c r="CZ29" s="1079"/>
      <c r="DA29" s="1079"/>
      <c r="DB29" s="1079"/>
      <c r="DC29" s="1079"/>
      <c r="DD29" s="1079"/>
      <c r="DE29" s="1079"/>
      <c r="DF29" s="1079"/>
      <c r="DG29" s="1079"/>
      <c r="DH29" s="1079"/>
      <c r="DI29" s="1079"/>
      <c r="DJ29" s="1079"/>
      <c r="DK29" s="1079"/>
      <c r="DL29" s="1079"/>
      <c r="DM29" s="1079"/>
      <c r="DN29" s="1079"/>
      <c r="DO29" s="1079"/>
      <c r="DP29" s="1079"/>
      <c r="DQ29" s="1079"/>
      <c r="DR29" s="1079"/>
      <c r="DS29" s="1079"/>
      <c r="DT29" s="1079"/>
      <c r="DU29" s="1079"/>
      <c r="DV29" s="1079"/>
      <c r="DW29" s="1079"/>
      <c r="DX29" s="1079"/>
      <c r="DY29" s="1079"/>
      <c r="DZ29" s="1079"/>
      <c r="EA29" s="1079"/>
      <c r="EB29" s="1079"/>
      <c r="EC29" s="1079"/>
      <c r="ED29" s="1079"/>
      <c r="EE29" s="1079"/>
      <c r="EF29" s="1079"/>
      <c r="EG29" s="1079"/>
      <c r="EH29" s="1079"/>
      <c r="EI29" s="1079"/>
      <c r="EJ29" s="1079"/>
      <c r="EK29" s="1079"/>
      <c r="EL29" s="1079"/>
      <c r="EM29" s="1079"/>
      <c r="EN29" s="1079"/>
      <c r="EO29" s="1079"/>
      <c r="EP29" s="1079"/>
      <c r="EQ29" s="1079"/>
      <c r="ER29" s="1079"/>
      <c r="ES29" s="1079"/>
      <c r="ET29" s="1079"/>
      <c r="EU29" s="1079"/>
      <c r="EV29" s="1079"/>
      <c r="EW29" s="1079"/>
      <c r="EX29" s="1079"/>
    </row>
    <row r="30" spans="1:154" ht="15" customHeight="1">
      <c r="A30" s="306" t="s">
        <v>366</v>
      </c>
      <c r="B30" s="852">
        <f>55087637-B29+227179</f>
        <v>34767596</v>
      </c>
      <c r="C30" s="301">
        <f>D30-'[21]Anexo VII _ RES PRIM'!D30</f>
        <v>4815914.830000002</v>
      </c>
      <c r="D30" s="302">
        <f>38309769.39-D29+142177</f>
        <v>27536697.96</v>
      </c>
      <c r="E30" s="1267">
        <v>22451616.39</v>
      </c>
      <c r="P30" s="1079"/>
      <c r="Q30" s="1079"/>
      <c r="R30" s="1079"/>
      <c r="S30" s="1079"/>
      <c r="T30" s="1080"/>
      <c r="U30" s="1079"/>
      <c r="V30" s="1079"/>
      <c r="W30" s="1079"/>
      <c r="X30" s="1079"/>
      <c r="Y30" s="1079"/>
      <c r="Z30" s="1079"/>
      <c r="AA30" s="1079"/>
      <c r="AB30" s="1079"/>
      <c r="AC30" s="1079"/>
      <c r="AD30" s="1079"/>
      <c r="AE30" s="1079"/>
      <c r="AF30" s="1079"/>
      <c r="AG30" s="1079"/>
      <c r="AH30" s="1079"/>
      <c r="AI30" s="1079"/>
      <c r="AJ30" s="1079"/>
      <c r="AK30" s="1079"/>
      <c r="AL30" s="1079"/>
      <c r="AM30" s="1079"/>
      <c r="AN30" s="1079"/>
      <c r="AO30" s="1079"/>
      <c r="AP30" s="1079"/>
      <c r="AQ30" s="1079"/>
      <c r="AR30" s="1079"/>
      <c r="AS30" s="1079"/>
      <c r="AT30" s="1079"/>
      <c r="AU30" s="1079"/>
      <c r="AV30" s="1079"/>
      <c r="AW30" s="1079"/>
      <c r="AX30" s="1079"/>
      <c r="AY30" s="1079"/>
      <c r="AZ30" s="1079"/>
      <c r="BA30" s="1079"/>
      <c r="BB30" s="1079"/>
      <c r="BC30" s="1079"/>
      <c r="BD30" s="1079"/>
      <c r="BE30" s="1079"/>
      <c r="BF30" s="1079"/>
      <c r="BG30" s="1079"/>
      <c r="BH30" s="1079"/>
      <c r="BI30" s="1079"/>
      <c r="BJ30" s="1079"/>
      <c r="BK30" s="1079"/>
      <c r="BL30" s="1079"/>
      <c r="BM30" s="1079"/>
      <c r="BN30" s="1079"/>
      <c r="BO30" s="1079"/>
      <c r="BP30" s="1079"/>
      <c r="BQ30" s="1079"/>
      <c r="BR30" s="1079"/>
      <c r="BS30" s="1079"/>
      <c r="BT30" s="1079"/>
      <c r="BU30" s="1079"/>
      <c r="BV30" s="1079"/>
      <c r="BW30" s="1079"/>
      <c r="BX30" s="1079"/>
      <c r="BY30" s="1079"/>
      <c r="BZ30" s="1079"/>
      <c r="CA30" s="1079"/>
      <c r="CB30" s="1079"/>
      <c r="CC30" s="1079"/>
      <c r="CD30" s="1079"/>
      <c r="CE30" s="1079"/>
      <c r="CF30" s="1079"/>
      <c r="CG30" s="1079"/>
      <c r="CH30" s="1079"/>
      <c r="CI30" s="1079"/>
      <c r="CJ30" s="1079"/>
      <c r="CK30" s="1079"/>
      <c r="CL30" s="1079"/>
      <c r="CM30" s="1079"/>
      <c r="CN30" s="1079"/>
      <c r="CO30" s="1079"/>
      <c r="CP30" s="1079"/>
      <c r="CQ30" s="1079"/>
      <c r="CR30" s="1079"/>
      <c r="CS30" s="1079"/>
      <c r="CT30" s="1079"/>
      <c r="CU30" s="1079"/>
      <c r="CV30" s="1079"/>
      <c r="CW30" s="1079"/>
      <c r="CX30" s="1079"/>
      <c r="CY30" s="1079"/>
      <c r="CZ30" s="1079"/>
      <c r="DA30" s="1079"/>
      <c r="DB30" s="1079"/>
      <c r="DC30" s="1079"/>
      <c r="DD30" s="1079"/>
      <c r="DE30" s="1079"/>
      <c r="DF30" s="1079"/>
      <c r="DG30" s="1079"/>
      <c r="DH30" s="1079"/>
      <c r="DI30" s="1079"/>
      <c r="DJ30" s="1079"/>
      <c r="DK30" s="1079"/>
      <c r="DL30" s="1079"/>
      <c r="DM30" s="1079"/>
      <c r="DN30" s="1079"/>
      <c r="DO30" s="1079"/>
      <c r="DP30" s="1079"/>
      <c r="DQ30" s="1079"/>
      <c r="DR30" s="1079"/>
      <c r="DS30" s="1079"/>
      <c r="DT30" s="1079"/>
      <c r="DU30" s="1079"/>
      <c r="DV30" s="1079"/>
      <c r="DW30" s="1079"/>
      <c r="DX30" s="1079"/>
      <c r="DY30" s="1079"/>
      <c r="DZ30" s="1079"/>
      <c r="EA30" s="1079"/>
      <c r="EB30" s="1079"/>
      <c r="EC30" s="1079"/>
      <c r="ED30" s="1079"/>
      <c r="EE30" s="1079"/>
      <c r="EF30" s="1079"/>
      <c r="EG30" s="1079"/>
      <c r="EH30" s="1079"/>
      <c r="EI30" s="1079"/>
      <c r="EJ30" s="1079"/>
      <c r="EK30" s="1079"/>
      <c r="EL30" s="1079"/>
      <c r="EM30" s="1079"/>
      <c r="EN30" s="1079"/>
      <c r="EO30" s="1079"/>
      <c r="EP30" s="1079"/>
      <c r="EQ30" s="1079"/>
      <c r="ER30" s="1079"/>
      <c r="ES30" s="1079"/>
      <c r="ET30" s="1079"/>
      <c r="EU30" s="1079"/>
      <c r="EV30" s="1079"/>
      <c r="EW30" s="1079"/>
      <c r="EX30" s="1079"/>
    </row>
    <row r="31" spans="1:154" ht="15" customHeight="1">
      <c r="A31" s="308" t="s">
        <v>367</v>
      </c>
      <c r="B31" s="309">
        <f>B32+B33+B34+B35+B38</f>
        <v>246170786</v>
      </c>
      <c r="C31" s="310">
        <f>C32+C33+C34+C35+C38</f>
        <v>2492932.1199999973</v>
      </c>
      <c r="D31" s="311">
        <f>D32+D33+D34+D35+D38</f>
        <v>27456375.04</v>
      </c>
      <c r="E31" s="1269">
        <f>E32+E33+E34+E35+E38</f>
        <v>7799140.860000001</v>
      </c>
      <c r="P31" s="1079"/>
      <c r="Q31" s="1079"/>
      <c r="R31" s="1079"/>
      <c r="S31" s="1079"/>
      <c r="T31" s="1083"/>
      <c r="U31" s="1079"/>
      <c r="V31" s="1079"/>
      <c r="W31" s="1079"/>
      <c r="X31" s="1079"/>
      <c r="Y31" s="1079"/>
      <c r="Z31" s="1079"/>
      <c r="AA31" s="1079"/>
      <c r="AB31" s="1079"/>
      <c r="AC31" s="1079"/>
      <c r="AD31" s="1079"/>
      <c r="AE31" s="1079"/>
      <c r="AF31" s="1079"/>
      <c r="AG31" s="1079"/>
      <c r="AH31" s="1079"/>
      <c r="AI31" s="1079"/>
      <c r="AJ31" s="1079"/>
      <c r="AK31" s="1079"/>
      <c r="AL31" s="1079"/>
      <c r="AM31" s="1079"/>
      <c r="AN31" s="1079"/>
      <c r="AO31" s="1079"/>
      <c r="AP31" s="1079"/>
      <c r="AQ31" s="1079"/>
      <c r="AR31" s="1079"/>
      <c r="AS31" s="1079"/>
      <c r="AT31" s="1079"/>
      <c r="AU31" s="1079"/>
      <c r="AV31" s="1079"/>
      <c r="AW31" s="1079"/>
      <c r="AX31" s="1079"/>
      <c r="AY31" s="1079"/>
      <c r="AZ31" s="1079"/>
      <c r="BA31" s="1079"/>
      <c r="BB31" s="1079"/>
      <c r="BC31" s="1079"/>
      <c r="BD31" s="1079"/>
      <c r="BE31" s="1079"/>
      <c r="BF31" s="1079"/>
      <c r="BG31" s="1079"/>
      <c r="BH31" s="1079"/>
      <c r="BI31" s="1079"/>
      <c r="BJ31" s="1079"/>
      <c r="BK31" s="1079"/>
      <c r="BL31" s="1079"/>
      <c r="BM31" s="1079"/>
      <c r="BN31" s="1079"/>
      <c r="BO31" s="1079"/>
      <c r="BP31" s="1079"/>
      <c r="BQ31" s="1079"/>
      <c r="BR31" s="1079"/>
      <c r="BS31" s="1079"/>
      <c r="BT31" s="1079"/>
      <c r="BU31" s="1079"/>
      <c r="BV31" s="1079"/>
      <c r="BW31" s="1079"/>
      <c r="BX31" s="1079"/>
      <c r="BY31" s="1079"/>
      <c r="BZ31" s="1079"/>
      <c r="CA31" s="1079"/>
      <c r="CB31" s="1079"/>
      <c r="CC31" s="1079"/>
      <c r="CD31" s="1079"/>
      <c r="CE31" s="1079"/>
      <c r="CF31" s="1079"/>
      <c r="CG31" s="1079"/>
      <c r="CH31" s="1079"/>
      <c r="CI31" s="1079"/>
      <c r="CJ31" s="1079"/>
      <c r="CK31" s="1079"/>
      <c r="CL31" s="1079"/>
      <c r="CM31" s="1079"/>
      <c r="CN31" s="1079"/>
      <c r="CO31" s="1079"/>
      <c r="CP31" s="1079"/>
      <c r="CQ31" s="1079"/>
      <c r="CR31" s="1079"/>
      <c r="CS31" s="1079"/>
      <c r="CT31" s="1079"/>
      <c r="CU31" s="1079"/>
      <c r="CV31" s="1079"/>
      <c r="CW31" s="1079"/>
      <c r="CX31" s="1079"/>
      <c r="CY31" s="1079"/>
      <c r="CZ31" s="1079"/>
      <c r="DA31" s="1079"/>
      <c r="DB31" s="1079"/>
      <c r="DC31" s="1079"/>
      <c r="DD31" s="1079"/>
      <c r="DE31" s="1079"/>
      <c r="DF31" s="1079"/>
      <c r="DG31" s="1079"/>
      <c r="DH31" s="1079"/>
      <c r="DI31" s="1079"/>
      <c r="DJ31" s="1079"/>
      <c r="DK31" s="1079"/>
      <c r="DL31" s="1079"/>
      <c r="DM31" s="1079"/>
      <c r="DN31" s="1079"/>
      <c r="DO31" s="1079"/>
      <c r="DP31" s="1079"/>
      <c r="DQ31" s="1079"/>
      <c r="DR31" s="1079"/>
      <c r="DS31" s="1079"/>
      <c r="DT31" s="1079"/>
      <c r="DU31" s="1079"/>
      <c r="DV31" s="1079"/>
      <c r="DW31" s="1079"/>
      <c r="DX31" s="1079"/>
      <c r="DY31" s="1079"/>
      <c r="DZ31" s="1079"/>
      <c r="EA31" s="1079"/>
      <c r="EB31" s="1079"/>
      <c r="EC31" s="1079"/>
      <c r="ED31" s="1079"/>
      <c r="EE31" s="1079"/>
      <c r="EF31" s="1079"/>
      <c r="EG31" s="1079"/>
      <c r="EH31" s="1079"/>
      <c r="EI31" s="1079"/>
      <c r="EJ31" s="1079"/>
      <c r="EK31" s="1079"/>
      <c r="EL31" s="1079"/>
      <c r="EM31" s="1079"/>
      <c r="EN31" s="1079"/>
      <c r="EO31" s="1079"/>
      <c r="EP31" s="1079"/>
      <c r="EQ31" s="1079"/>
      <c r="ER31" s="1079"/>
      <c r="ES31" s="1079"/>
      <c r="ET31" s="1079"/>
      <c r="EU31" s="1079"/>
      <c r="EV31" s="1079"/>
      <c r="EW31" s="1079"/>
      <c r="EX31" s="1079"/>
    </row>
    <row r="32" spans="1:154" ht="15" customHeight="1">
      <c r="A32" s="312" t="s">
        <v>368</v>
      </c>
      <c r="B32" s="307">
        <f>'Anexo I_BAL ORC'!C36</f>
        <v>141754909</v>
      </c>
      <c r="C32" s="301">
        <f>D32-'[21]Anexo VII _ RES PRIM'!D32</f>
        <v>2492551.6199999973</v>
      </c>
      <c r="D32" s="302">
        <f>'Anexo I_BAL ORC'!G36</f>
        <v>26949507.47</v>
      </c>
      <c r="E32" s="1267">
        <v>7180821.98</v>
      </c>
      <c r="P32" s="1079"/>
      <c r="Q32" s="1079"/>
      <c r="R32" s="1079"/>
      <c r="S32" s="1079"/>
      <c r="T32" s="1083"/>
      <c r="U32" s="1079"/>
      <c r="V32" s="1079"/>
      <c r="W32" s="1079"/>
      <c r="X32" s="1079"/>
      <c r="Y32" s="1079"/>
      <c r="Z32" s="1079"/>
      <c r="AA32" s="1079"/>
      <c r="AB32" s="1079"/>
      <c r="AC32" s="1079"/>
      <c r="AD32" s="1079"/>
      <c r="AE32" s="1079"/>
      <c r="AF32" s="1079"/>
      <c r="AG32" s="1079"/>
      <c r="AH32" s="1079"/>
      <c r="AI32" s="1079"/>
      <c r="AJ32" s="1079"/>
      <c r="AK32" s="1079"/>
      <c r="AL32" s="1079"/>
      <c r="AM32" s="1079"/>
      <c r="AN32" s="1079"/>
      <c r="AO32" s="1079"/>
      <c r="AP32" s="1079"/>
      <c r="AQ32" s="1079"/>
      <c r="AR32" s="1079"/>
      <c r="AS32" s="1079"/>
      <c r="AT32" s="1079"/>
      <c r="AU32" s="1079"/>
      <c r="AV32" s="1079"/>
      <c r="AW32" s="1079"/>
      <c r="AX32" s="1079"/>
      <c r="AY32" s="1079"/>
      <c r="AZ32" s="1079"/>
      <c r="BA32" s="1079"/>
      <c r="BB32" s="1079"/>
      <c r="BC32" s="1079"/>
      <c r="BD32" s="1079"/>
      <c r="BE32" s="1079"/>
      <c r="BF32" s="1079"/>
      <c r="BG32" s="1079"/>
      <c r="BH32" s="1079"/>
      <c r="BI32" s="1079"/>
      <c r="BJ32" s="1079"/>
      <c r="BK32" s="1079"/>
      <c r="BL32" s="1079"/>
      <c r="BM32" s="1079"/>
      <c r="BN32" s="1079"/>
      <c r="BO32" s="1079"/>
      <c r="BP32" s="1079"/>
      <c r="BQ32" s="1079"/>
      <c r="BR32" s="1079"/>
      <c r="BS32" s="1079"/>
      <c r="BT32" s="1079"/>
      <c r="BU32" s="1079"/>
      <c r="BV32" s="1079"/>
      <c r="BW32" s="1079"/>
      <c r="BX32" s="1079"/>
      <c r="BY32" s="1079"/>
      <c r="BZ32" s="1079"/>
      <c r="CA32" s="1079"/>
      <c r="CB32" s="1079"/>
      <c r="CC32" s="1079"/>
      <c r="CD32" s="1079"/>
      <c r="CE32" s="1079"/>
      <c r="CF32" s="1079"/>
      <c r="CG32" s="1079"/>
      <c r="CH32" s="1079"/>
      <c r="CI32" s="1079"/>
      <c r="CJ32" s="1079"/>
      <c r="CK32" s="1079"/>
      <c r="CL32" s="1079"/>
      <c r="CM32" s="1079"/>
      <c r="CN32" s="1079"/>
      <c r="CO32" s="1079"/>
      <c r="CP32" s="1079"/>
      <c r="CQ32" s="1079"/>
      <c r="CR32" s="1079"/>
      <c r="CS32" s="1079"/>
      <c r="CT32" s="1079"/>
      <c r="CU32" s="1079"/>
      <c r="CV32" s="1079"/>
      <c r="CW32" s="1079"/>
      <c r="CX32" s="1079"/>
      <c r="CY32" s="1079"/>
      <c r="CZ32" s="1079"/>
      <c r="DA32" s="1079"/>
      <c r="DB32" s="1079"/>
      <c r="DC32" s="1079"/>
      <c r="DD32" s="1079"/>
      <c r="DE32" s="1079"/>
      <c r="DF32" s="1079"/>
      <c r="DG32" s="1079"/>
      <c r="DH32" s="1079"/>
      <c r="DI32" s="1079"/>
      <c r="DJ32" s="1079"/>
      <c r="DK32" s="1079"/>
      <c r="DL32" s="1079"/>
      <c r="DM32" s="1079"/>
      <c r="DN32" s="1079"/>
      <c r="DO32" s="1079"/>
      <c r="DP32" s="1079"/>
      <c r="DQ32" s="1079"/>
      <c r="DR32" s="1079"/>
      <c r="DS32" s="1079"/>
      <c r="DT32" s="1079"/>
      <c r="DU32" s="1079"/>
      <c r="DV32" s="1079"/>
      <c r="DW32" s="1079"/>
      <c r="DX32" s="1079"/>
      <c r="DY32" s="1079"/>
      <c r="DZ32" s="1079"/>
      <c r="EA32" s="1079"/>
      <c r="EB32" s="1079"/>
      <c r="EC32" s="1079"/>
      <c r="ED32" s="1079"/>
      <c r="EE32" s="1079"/>
      <c r="EF32" s="1079"/>
      <c r="EG32" s="1079"/>
      <c r="EH32" s="1079"/>
      <c r="EI32" s="1079"/>
      <c r="EJ32" s="1079"/>
      <c r="EK32" s="1079"/>
      <c r="EL32" s="1079"/>
      <c r="EM32" s="1079"/>
      <c r="EN32" s="1079"/>
      <c r="EO32" s="1079"/>
      <c r="EP32" s="1079"/>
      <c r="EQ32" s="1079"/>
      <c r="ER32" s="1079"/>
      <c r="ES32" s="1079"/>
      <c r="ET32" s="1079"/>
      <c r="EU32" s="1079"/>
      <c r="EV32" s="1079"/>
      <c r="EW32" s="1079"/>
      <c r="EX32" s="1079"/>
    </row>
    <row r="33" spans="1:154" ht="15" customHeight="1">
      <c r="A33" s="312" t="s">
        <v>369</v>
      </c>
      <c r="B33" s="307">
        <v>0</v>
      </c>
      <c r="C33" s="301">
        <f>D33-'[21]Anexo VII _ RES PRIM'!D33</f>
        <v>0</v>
      </c>
      <c r="D33" s="302">
        <v>0</v>
      </c>
      <c r="E33" s="1267">
        <v>0</v>
      </c>
      <c r="P33" s="1079"/>
      <c r="Q33" s="1079"/>
      <c r="R33" s="1079"/>
      <c r="S33" s="1079"/>
      <c r="T33" s="1079"/>
      <c r="U33" s="1079"/>
      <c r="V33" s="1079"/>
      <c r="W33" s="1079"/>
      <c r="X33" s="1079"/>
      <c r="Y33" s="1079"/>
      <c r="Z33" s="1079"/>
      <c r="AA33" s="1079"/>
      <c r="AB33" s="1079"/>
      <c r="AC33" s="1079"/>
      <c r="AD33" s="1079"/>
      <c r="AE33" s="1079"/>
      <c r="AF33" s="1079"/>
      <c r="AG33" s="1079"/>
      <c r="AH33" s="1079"/>
      <c r="AI33" s="1079"/>
      <c r="AJ33" s="1079"/>
      <c r="AK33" s="1079"/>
      <c r="AL33" s="1079"/>
      <c r="AM33" s="1079"/>
      <c r="AN33" s="1079"/>
      <c r="AO33" s="1079"/>
      <c r="AP33" s="1079"/>
      <c r="AQ33" s="1079"/>
      <c r="AR33" s="1079"/>
      <c r="AS33" s="1079"/>
      <c r="AT33" s="1079"/>
      <c r="AU33" s="1079"/>
      <c r="AV33" s="1079"/>
      <c r="AW33" s="1079"/>
      <c r="AX33" s="1079"/>
      <c r="AY33" s="1079"/>
      <c r="AZ33" s="1079"/>
      <c r="BA33" s="1079"/>
      <c r="BB33" s="1079"/>
      <c r="BC33" s="1079"/>
      <c r="BD33" s="1079"/>
      <c r="BE33" s="1079"/>
      <c r="BF33" s="1079"/>
      <c r="BG33" s="1079"/>
      <c r="BH33" s="1079"/>
      <c r="BI33" s="1079"/>
      <c r="BJ33" s="1079"/>
      <c r="BK33" s="1079"/>
      <c r="BL33" s="1079"/>
      <c r="BM33" s="1079"/>
      <c r="BN33" s="1079"/>
      <c r="BO33" s="1079"/>
      <c r="BP33" s="1079"/>
      <c r="BQ33" s="1079"/>
      <c r="BR33" s="1079"/>
      <c r="BS33" s="1079"/>
      <c r="BT33" s="1079"/>
      <c r="BU33" s="1079"/>
      <c r="BV33" s="1079"/>
      <c r="BW33" s="1079"/>
      <c r="BX33" s="1079"/>
      <c r="BY33" s="1079"/>
      <c r="BZ33" s="1079"/>
      <c r="CA33" s="1079"/>
      <c r="CB33" s="1079"/>
      <c r="CC33" s="1079"/>
      <c r="CD33" s="1079"/>
      <c r="CE33" s="1079"/>
      <c r="CF33" s="1079"/>
      <c r="CG33" s="1079"/>
      <c r="CH33" s="1079"/>
      <c r="CI33" s="1079"/>
      <c r="CJ33" s="1079"/>
      <c r="CK33" s="1079"/>
      <c r="CL33" s="1079"/>
      <c r="CM33" s="1079"/>
      <c r="CN33" s="1079"/>
      <c r="CO33" s="1079"/>
      <c r="CP33" s="1079"/>
      <c r="CQ33" s="1079"/>
      <c r="CR33" s="1079"/>
      <c r="CS33" s="1079"/>
      <c r="CT33" s="1079"/>
      <c r="CU33" s="1079"/>
      <c r="CV33" s="1079"/>
      <c r="CW33" s="1079"/>
      <c r="CX33" s="1079"/>
      <c r="CY33" s="1079"/>
      <c r="CZ33" s="1079"/>
      <c r="DA33" s="1079"/>
      <c r="DB33" s="1079"/>
      <c r="DC33" s="1079"/>
      <c r="DD33" s="1079"/>
      <c r="DE33" s="1079"/>
      <c r="DF33" s="1079"/>
      <c r="DG33" s="1079"/>
      <c r="DH33" s="1079"/>
      <c r="DI33" s="1079"/>
      <c r="DJ33" s="1079"/>
      <c r="DK33" s="1079"/>
      <c r="DL33" s="1079"/>
      <c r="DM33" s="1079"/>
      <c r="DN33" s="1079"/>
      <c r="DO33" s="1079"/>
      <c r="DP33" s="1079"/>
      <c r="DQ33" s="1079"/>
      <c r="DR33" s="1079"/>
      <c r="DS33" s="1079"/>
      <c r="DT33" s="1079"/>
      <c r="DU33" s="1079"/>
      <c r="DV33" s="1079"/>
      <c r="DW33" s="1079"/>
      <c r="DX33" s="1079"/>
      <c r="DY33" s="1079"/>
      <c r="DZ33" s="1079"/>
      <c r="EA33" s="1079"/>
      <c r="EB33" s="1079"/>
      <c r="EC33" s="1079"/>
      <c r="ED33" s="1079"/>
      <c r="EE33" s="1079"/>
      <c r="EF33" s="1079"/>
      <c r="EG33" s="1079"/>
      <c r="EH33" s="1079"/>
      <c r="EI33" s="1079"/>
      <c r="EJ33" s="1079"/>
      <c r="EK33" s="1079"/>
      <c r="EL33" s="1079"/>
      <c r="EM33" s="1079"/>
      <c r="EN33" s="1079"/>
      <c r="EO33" s="1079"/>
      <c r="EP33" s="1079"/>
      <c r="EQ33" s="1079"/>
      <c r="ER33" s="1079"/>
      <c r="ES33" s="1079"/>
      <c r="ET33" s="1079"/>
      <c r="EU33" s="1079"/>
      <c r="EV33" s="1079"/>
      <c r="EW33" s="1079"/>
      <c r="EX33" s="1079"/>
    </row>
    <row r="34" spans="1:154" s="313" customFormat="1" ht="15" customHeight="1">
      <c r="A34" s="312" t="s">
        <v>370</v>
      </c>
      <c r="B34" s="307">
        <f>'Anexo I_BAL ORC'!C39</f>
        <v>6427</v>
      </c>
      <c r="C34" s="301">
        <f>D34-'[21]Anexo VII _ RES PRIM'!D34</f>
        <v>380.5</v>
      </c>
      <c r="D34" s="302">
        <f>'Anexo I_BAL ORC'!G41</f>
        <v>82575.14</v>
      </c>
      <c r="E34" s="1267">
        <v>6357.61</v>
      </c>
      <c r="O34" s="583"/>
      <c r="P34" s="1084"/>
      <c r="Q34" s="1084"/>
      <c r="R34" s="1084"/>
      <c r="S34" s="1084"/>
      <c r="T34" s="1084"/>
      <c r="U34" s="1084"/>
      <c r="V34" s="1084"/>
      <c r="W34" s="1084"/>
      <c r="X34" s="1084"/>
      <c r="Y34" s="1084"/>
      <c r="Z34" s="1084"/>
      <c r="AA34" s="1084"/>
      <c r="AB34" s="1084"/>
      <c r="AC34" s="1084"/>
      <c r="AD34" s="1084"/>
      <c r="AE34" s="1084"/>
      <c r="AF34" s="1084"/>
      <c r="AG34" s="1084"/>
      <c r="AH34" s="1084"/>
      <c r="AI34" s="1084"/>
      <c r="AJ34" s="1084"/>
      <c r="AK34" s="1084"/>
      <c r="AL34" s="1084"/>
      <c r="AM34" s="1084"/>
      <c r="AN34" s="1084"/>
      <c r="AO34" s="1084"/>
      <c r="AP34" s="1084"/>
      <c r="AQ34" s="1084"/>
      <c r="AR34" s="1084"/>
      <c r="AS34" s="1084"/>
      <c r="AT34" s="1084"/>
      <c r="AU34" s="1084"/>
      <c r="AV34" s="1084"/>
      <c r="AW34" s="1084"/>
      <c r="AX34" s="1084"/>
      <c r="AY34" s="1084"/>
      <c r="AZ34" s="1084"/>
      <c r="BA34" s="1084"/>
      <c r="BB34" s="1084"/>
      <c r="BC34" s="1084"/>
      <c r="BD34" s="1084"/>
      <c r="BE34" s="1084"/>
      <c r="BF34" s="1084"/>
      <c r="BG34" s="1084"/>
      <c r="BH34" s="1084"/>
      <c r="BI34" s="1084"/>
      <c r="BJ34" s="1084"/>
      <c r="BK34" s="1084"/>
      <c r="BL34" s="1084"/>
      <c r="BM34" s="1084"/>
      <c r="BN34" s="1084"/>
      <c r="BO34" s="1084"/>
      <c r="BP34" s="1084"/>
      <c r="BQ34" s="1084"/>
      <c r="BR34" s="1084"/>
      <c r="BS34" s="1084"/>
      <c r="BT34" s="1084"/>
      <c r="BU34" s="1084"/>
      <c r="BV34" s="1084"/>
      <c r="BW34" s="1084"/>
      <c r="BX34" s="1084"/>
      <c r="BY34" s="1084"/>
      <c r="BZ34" s="1084"/>
      <c r="CA34" s="1084"/>
      <c r="CB34" s="1084"/>
      <c r="CC34" s="1084"/>
      <c r="CD34" s="1084"/>
      <c r="CE34" s="1084"/>
      <c r="CF34" s="1084"/>
      <c r="CG34" s="1084"/>
      <c r="CH34" s="1084"/>
      <c r="CI34" s="1084"/>
      <c r="CJ34" s="1084"/>
      <c r="CK34" s="1084"/>
      <c r="CL34" s="1084"/>
      <c r="CM34" s="1084"/>
      <c r="CN34" s="1084"/>
      <c r="CO34" s="1084"/>
      <c r="CP34" s="1084"/>
      <c r="CQ34" s="1084"/>
      <c r="CR34" s="1084"/>
      <c r="CS34" s="1084"/>
      <c r="CT34" s="1084"/>
      <c r="CU34" s="1084"/>
      <c r="CV34" s="1084"/>
      <c r="CW34" s="1084"/>
      <c r="CX34" s="1084"/>
      <c r="CY34" s="1084"/>
      <c r="CZ34" s="1084"/>
      <c r="DA34" s="1084"/>
      <c r="DB34" s="1084"/>
      <c r="DC34" s="1084"/>
      <c r="DD34" s="1084"/>
      <c r="DE34" s="1084"/>
      <c r="DF34" s="1084"/>
      <c r="DG34" s="1084"/>
      <c r="DH34" s="1084"/>
      <c r="DI34" s="1084"/>
      <c r="DJ34" s="1084"/>
      <c r="DK34" s="1084"/>
      <c r="DL34" s="1084"/>
      <c r="DM34" s="1084"/>
      <c r="DN34" s="1084"/>
      <c r="DO34" s="1084"/>
      <c r="DP34" s="1084"/>
      <c r="DQ34" s="1084"/>
      <c r="DR34" s="1084"/>
      <c r="DS34" s="1084"/>
      <c r="DT34" s="1084"/>
      <c r="DU34" s="1084"/>
      <c r="DV34" s="1084"/>
      <c r="DW34" s="1084"/>
      <c r="DX34" s="1084"/>
      <c r="DY34" s="1084"/>
      <c r="DZ34" s="1084"/>
      <c r="EA34" s="1084"/>
      <c r="EB34" s="1084"/>
      <c r="EC34" s="1084"/>
      <c r="ED34" s="1084"/>
      <c r="EE34" s="1084"/>
      <c r="EF34" s="1084"/>
      <c r="EG34" s="1084"/>
      <c r="EH34" s="1084"/>
      <c r="EI34" s="1084"/>
      <c r="EJ34" s="1084"/>
      <c r="EK34" s="1084"/>
      <c r="EL34" s="1084"/>
      <c r="EM34" s="1084"/>
      <c r="EN34" s="1084"/>
      <c r="EO34" s="1084"/>
      <c r="EP34" s="1084"/>
      <c r="EQ34" s="1084"/>
      <c r="ER34" s="1084"/>
      <c r="ES34" s="1084"/>
      <c r="ET34" s="1084"/>
      <c r="EU34" s="1084"/>
      <c r="EV34" s="1084"/>
      <c r="EW34" s="1084"/>
      <c r="EX34" s="1084"/>
    </row>
    <row r="35" spans="1:15" s="313" customFormat="1" ht="15" customHeight="1">
      <c r="A35" s="831" t="s">
        <v>371</v>
      </c>
      <c r="B35" s="309">
        <f>SUM(B36:B37)</f>
        <v>104409450</v>
      </c>
      <c r="C35" s="309">
        <f>SUM(C36:C37)</f>
        <v>0</v>
      </c>
      <c r="D35" s="832">
        <f>SUM(D36:D37)</f>
        <v>424292.43</v>
      </c>
      <c r="E35" s="1271">
        <f>SUM(E36:E37)</f>
        <v>611961.27</v>
      </c>
      <c r="O35" s="334"/>
    </row>
    <row r="36" spans="1:5" ht="15" customHeight="1">
      <c r="A36" s="306" t="s">
        <v>372</v>
      </c>
      <c r="B36" s="307">
        <f>'Anexo I_BAL ORC'!C45</f>
        <v>103931450</v>
      </c>
      <c r="C36" s="301">
        <f>D36-'[21]Anexo VII _ RES PRIM'!D36</f>
        <v>0</v>
      </c>
      <c r="D36" s="302">
        <f>'Anexo I_BAL ORC'!G45</f>
        <v>424292.43</v>
      </c>
      <c r="E36" s="1267">
        <v>0</v>
      </c>
    </row>
    <row r="37" spans="1:20" ht="15" customHeight="1">
      <c r="A37" s="306" t="s">
        <v>373</v>
      </c>
      <c r="B37" s="307">
        <f>104409450-B36</f>
        <v>478000</v>
      </c>
      <c r="C37" s="301">
        <f>D37-'[21]Anexo VII _ RES PRIM'!D37</f>
        <v>0</v>
      </c>
      <c r="D37" s="302">
        <v>0</v>
      </c>
      <c r="E37" s="1267">
        <v>611961.27</v>
      </c>
      <c r="T37" s="706"/>
    </row>
    <row r="38" spans="1:5" ht="15" customHeight="1">
      <c r="A38" s="312" t="s">
        <v>259</v>
      </c>
      <c r="B38" s="307">
        <v>0</v>
      </c>
      <c r="C38" s="301">
        <f>D38-'[21]Anexo VII _ RES PRIM'!D38</f>
        <v>0</v>
      </c>
      <c r="D38" s="302">
        <v>0</v>
      </c>
      <c r="E38" s="1267">
        <v>0</v>
      </c>
    </row>
    <row r="39" spans="1:15" ht="15" customHeight="1">
      <c r="A39" s="314" t="s">
        <v>374</v>
      </c>
      <c r="B39" s="315">
        <f>B31-B32-B33-B34</f>
        <v>104409450</v>
      </c>
      <c r="C39" s="316">
        <f>C31-C32-C33-C34</f>
        <v>0</v>
      </c>
      <c r="D39" s="317">
        <f>D31-D32-D33-D34</f>
        <v>424292.4300000003</v>
      </c>
      <c r="E39" s="1272">
        <f>E31-E32-E33-E34</f>
        <v>611961.2700000008</v>
      </c>
      <c r="O39" s="335"/>
    </row>
    <row r="40" spans="1:20" ht="15" customHeight="1">
      <c r="A40" s="318" t="s">
        <v>375</v>
      </c>
      <c r="B40" s="315">
        <f>B10+B39</f>
        <v>2428777836.49</v>
      </c>
      <c r="C40" s="316">
        <f>C10+C39</f>
        <v>268456137.1700001</v>
      </c>
      <c r="D40" s="316">
        <f>D10+D39</f>
        <v>1461917831.0100002</v>
      </c>
      <c r="E40" s="1273">
        <f>E10+E39</f>
        <v>1351806017.6499999</v>
      </c>
      <c r="P40" s="703"/>
      <c r="T40" s="703"/>
    </row>
    <row r="41" spans="1:5" ht="15" customHeight="1">
      <c r="A41" s="319"/>
      <c r="B41" s="320"/>
      <c r="C41" s="321"/>
      <c r="D41" s="321"/>
      <c r="E41" s="1274"/>
    </row>
    <row r="42" spans="1:20" ht="15" customHeight="1">
      <c r="A42" s="1566" t="s">
        <v>376</v>
      </c>
      <c r="B42" s="1561" t="s">
        <v>377</v>
      </c>
      <c r="C42" s="1567" t="s">
        <v>287</v>
      </c>
      <c r="D42" s="1567"/>
      <c r="E42" s="1568"/>
      <c r="F42" s="1087"/>
      <c r="T42" s="703"/>
    </row>
    <row r="43" spans="1:6" ht="15" customHeight="1">
      <c r="A43" s="1566"/>
      <c r="B43" s="1561"/>
      <c r="C43" s="295" t="s">
        <v>122</v>
      </c>
      <c r="D43" s="295" t="s">
        <v>123</v>
      </c>
      <c r="E43" s="1264" t="s">
        <v>696</v>
      </c>
      <c r="F43" s="1087"/>
    </row>
    <row r="44" spans="1:21" ht="15" customHeight="1">
      <c r="A44" s="322" t="s">
        <v>378</v>
      </c>
      <c r="B44" s="323">
        <f>B45+B46+B47</f>
        <v>1951495740.23</v>
      </c>
      <c r="C44" s="323">
        <f>C45+C46+C47</f>
        <v>288343916.35999995</v>
      </c>
      <c r="D44" s="324">
        <f>D45+D46+D47</f>
        <v>1300029483.6100001</v>
      </c>
      <c r="E44" s="1275">
        <f>E45+E46+E47</f>
        <v>1215477087.22</v>
      </c>
      <c r="F44" s="1087"/>
      <c r="U44" s="703"/>
    </row>
    <row r="45" spans="1:6" ht="15" customHeight="1">
      <c r="A45" s="312" t="s">
        <v>379</v>
      </c>
      <c r="B45" s="325">
        <f>'Anexo I_BAL ORC'!D75</f>
        <v>909843309.4</v>
      </c>
      <c r="C45" s="325">
        <f>'Anexo I_BAL ORC'!G75</f>
        <v>127160932.56999993</v>
      </c>
      <c r="D45" s="325">
        <f>'Anexo I_BAL ORC'!H75</f>
        <v>633377948.64</v>
      </c>
      <c r="E45" s="1267">
        <v>657367325.41</v>
      </c>
      <c r="F45" s="1087"/>
    </row>
    <row r="46" spans="1:6" ht="15" customHeight="1">
      <c r="A46" s="312" t="s">
        <v>380</v>
      </c>
      <c r="B46" s="325">
        <f>'Anexo I_BAL ORC'!D76</f>
        <v>2860000</v>
      </c>
      <c r="C46" s="325">
        <f>'Anexo I_BAL ORC'!G76</f>
        <v>88110.54999999999</v>
      </c>
      <c r="D46" s="325">
        <f>'Anexo I_BAL ORC'!H76</f>
        <v>573457.71</v>
      </c>
      <c r="E46" s="1267">
        <v>652117.21</v>
      </c>
      <c r="F46" s="1087"/>
    </row>
    <row r="47" spans="1:20" ht="15" customHeight="1">
      <c r="A47" s="312" t="s">
        <v>278</v>
      </c>
      <c r="B47" s="325">
        <f>'Anexo I_BAL ORC'!D77</f>
        <v>1038792430.8299999</v>
      </c>
      <c r="C47" s="325">
        <f>'Anexo I_BAL ORC'!G77</f>
        <v>161094873.24</v>
      </c>
      <c r="D47" s="325">
        <f>'Anexo I_BAL ORC'!H77</f>
        <v>666078077.26</v>
      </c>
      <c r="E47" s="1267">
        <v>557457644.6</v>
      </c>
      <c r="F47" s="1087"/>
      <c r="T47" s="703"/>
    </row>
    <row r="48" spans="1:6" ht="15" customHeight="1">
      <c r="A48" s="322" t="s">
        <v>381</v>
      </c>
      <c r="B48" s="323">
        <f>B44-B46</f>
        <v>1948635740.23</v>
      </c>
      <c r="C48" s="323">
        <f>C44-C46</f>
        <v>288255805.80999994</v>
      </c>
      <c r="D48" s="324">
        <f>D44-D46</f>
        <v>1299456025.9</v>
      </c>
      <c r="E48" s="1276">
        <f>E44-E46</f>
        <v>1214824970.01</v>
      </c>
      <c r="F48" s="1087"/>
    </row>
    <row r="49" spans="1:6" ht="15" customHeight="1">
      <c r="A49" s="1088" t="s">
        <v>382</v>
      </c>
      <c r="B49" s="310">
        <f>B50+B51+B55</f>
        <v>598327548.87</v>
      </c>
      <c r="C49" s="310">
        <f>C50+C51+C55</f>
        <v>37124389.81</v>
      </c>
      <c r="D49" s="311">
        <f>D50+D51+D55</f>
        <v>186751940.59</v>
      </c>
      <c r="E49" s="1269">
        <f>E50+E51+E55</f>
        <v>93476523.27000001</v>
      </c>
      <c r="F49" s="1087"/>
    </row>
    <row r="50" spans="1:6" ht="15" customHeight="1">
      <c r="A50" s="312" t="s">
        <v>383</v>
      </c>
      <c r="B50" s="301">
        <f>'Anexo I_BAL ORC'!D79</f>
        <v>571486443.87</v>
      </c>
      <c r="C50" s="325">
        <f>'Anexo I_BAL ORC'!G79</f>
        <v>31439577.77</v>
      </c>
      <c r="D50" s="325">
        <f>'Anexo I_BAL ORC'!H79</f>
        <v>164786273.35</v>
      </c>
      <c r="E50" s="1277">
        <v>73083457.65</v>
      </c>
      <c r="F50" s="1087"/>
    </row>
    <row r="51" spans="1:15" s="313" customFormat="1" ht="15" customHeight="1">
      <c r="A51" s="831" t="s">
        <v>384</v>
      </c>
      <c r="B51" s="310">
        <f>B52+B53+B54</f>
        <v>311945</v>
      </c>
      <c r="C51" s="311">
        <f>C52+C53+C54</f>
        <v>0</v>
      </c>
      <c r="D51" s="311">
        <f>D52+D53+D54</f>
        <v>0</v>
      </c>
      <c r="E51" s="1269">
        <f>E52+E53+E54</f>
        <v>40000</v>
      </c>
      <c r="F51" s="1089"/>
      <c r="O51" s="583"/>
    </row>
    <row r="52" spans="1:6" ht="15" customHeight="1">
      <c r="A52" s="306" t="s">
        <v>385</v>
      </c>
      <c r="B52" s="301">
        <v>0</v>
      </c>
      <c r="C52" s="301">
        <v>0</v>
      </c>
      <c r="D52" s="302">
        <v>0</v>
      </c>
      <c r="E52" s="1278">
        <v>0</v>
      </c>
      <c r="F52" s="1087"/>
    </row>
    <row r="53" spans="1:20" ht="15" customHeight="1">
      <c r="A53" s="306" t="s">
        <v>386</v>
      </c>
      <c r="B53" s="301">
        <v>0</v>
      </c>
      <c r="C53" s="301">
        <v>0</v>
      </c>
      <c r="D53" s="302">
        <v>0</v>
      </c>
      <c r="E53" s="1278">
        <v>0</v>
      </c>
      <c r="F53" s="1087"/>
      <c r="T53" s="706"/>
    </row>
    <row r="54" spans="1:6" ht="15" customHeight="1">
      <c r="A54" s="306" t="s">
        <v>387</v>
      </c>
      <c r="B54" s="301">
        <f>'Anexo I_BAL ORC'!D80</f>
        <v>311945</v>
      </c>
      <c r="C54" s="325">
        <f>'Anexo I_BAL ORC'!G80</f>
        <v>0</v>
      </c>
      <c r="D54" s="325">
        <f>'Anexo I_BAL ORC'!H80</f>
        <v>0</v>
      </c>
      <c r="E54" s="1267">
        <v>40000</v>
      </c>
      <c r="F54" s="1087"/>
    </row>
    <row r="55" spans="1:6" ht="15" customHeight="1">
      <c r="A55" s="312" t="s">
        <v>388</v>
      </c>
      <c r="B55" s="301">
        <f>'Anexo I_BAL ORC'!D81</f>
        <v>26529160</v>
      </c>
      <c r="C55" s="301">
        <f>'Anexo I_BAL ORC'!G81</f>
        <v>5684812.039999999</v>
      </c>
      <c r="D55" s="325">
        <f>'Anexo I_BAL ORC'!H81</f>
        <v>21965667.24</v>
      </c>
      <c r="E55" s="1267">
        <v>20353065.62</v>
      </c>
      <c r="F55" s="1087"/>
    </row>
    <row r="56" spans="1:20" ht="15" customHeight="1">
      <c r="A56" s="1088" t="s">
        <v>389</v>
      </c>
      <c r="B56" s="310">
        <f>B49-B52-B53-B55</f>
        <v>571798388.87</v>
      </c>
      <c r="C56" s="311">
        <f>C49-C52-C53-C55</f>
        <v>31439577.770000003</v>
      </c>
      <c r="D56" s="311">
        <f>D49-D52-D53-D55</f>
        <v>164786273.35</v>
      </c>
      <c r="E56" s="1269">
        <f>E49-E52-E53-E55</f>
        <v>73123457.65</v>
      </c>
      <c r="F56" s="1087"/>
      <c r="T56" s="703"/>
    </row>
    <row r="57" spans="1:22" ht="15" customHeight="1">
      <c r="A57" s="1088" t="s">
        <v>390</v>
      </c>
      <c r="B57" s="301">
        <f>'Anexo I_BAL ORC'!D82</f>
        <v>34718992.39</v>
      </c>
      <c r="C57" s="325">
        <f>'Anexo I_BAL ORC'!G82</f>
        <v>0</v>
      </c>
      <c r="D57" s="325">
        <f>'Anexo I_BAL ORC'!H82</f>
        <v>0</v>
      </c>
      <c r="E57" s="1267">
        <v>0</v>
      </c>
      <c r="F57" s="1087"/>
      <c r="T57" s="703"/>
      <c r="V57" s="703"/>
    </row>
    <row r="58" spans="1:6" ht="15" customHeight="1">
      <c r="A58" s="1088" t="s">
        <v>391</v>
      </c>
      <c r="B58" s="301">
        <f>'Anexo I_BAL ORC'!D83</f>
        <v>0</v>
      </c>
      <c r="C58" s="325">
        <f>'Anexo I_BAL ORC'!G83</f>
        <v>0</v>
      </c>
      <c r="D58" s="325">
        <f>'Anexo I_BAL ORC'!H83</f>
        <v>0</v>
      </c>
      <c r="E58" s="1279">
        <v>0</v>
      </c>
      <c r="F58" s="1087"/>
    </row>
    <row r="59" spans="1:6" ht="15" customHeight="1">
      <c r="A59" s="326" t="s">
        <v>392</v>
      </c>
      <c r="B59" s="316">
        <f>B48+B56+B57+B58</f>
        <v>2555153121.49</v>
      </c>
      <c r="C59" s="316">
        <f>C48+C56+C57+C58</f>
        <v>319695383.5799999</v>
      </c>
      <c r="D59" s="316">
        <f>D48+D56+D57+D58</f>
        <v>1464242299.25</v>
      </c>
      <c r="E59" s="1280">
        <f>E48+E56+E57+E58</f>
        <v>1287948427.66</v>
      </c>
      <c r="F59" s="1087"/>
    </row>
    <row r="60" spans="1:6" ht="15" customHeight="1">
      <c r="A60" s="327"/>
      <c r="B60" s="328"/>
      <c r="C60" s="328"/>
      <c r="D60" s="328"/>
      <c r="E60" s="1281"/>
      <c r="F60" s="1087"/>
    </row>
    <row r="61" spans="1:15" s="330" customFormat="1" ht="15" customHeight="1">
      <c r="A61" s="329" t="s">
        <v>393</v>
      </c>
      <c r="B61" s="317">
        <f>B40-B59</f>
        <v>-126375285</v>
      </c>
      <c r="C61" s="317">
        <f>C40-C59</f>
        <v>-51239246.40999985</v>
      </c>
      <c r="D61" s="317">
        <f>D40-D59</f>
        <v>-2324468.239999771</v>
      </c>
      <c r="E61" s="1280">
        <f>E40-E59</f>
        <v>63857589.98999977</v>
      </c>
      <c r="F61" s="1090"/>
      <c r="O61" s="294"/>
    </row>
    <row r="62" spans="1:6" ht="15" customHeight="1">
      <c r="A62" s="327"/>
      <c r="B62" s="320"/>
      <c r="C62" s="319"/>
      <c r="D62" s="319"/>
      <c r="E62" s="319"/>
      <c r="F62" s="1087"/>
    </row>
    <row r="63" spans="1:6" ht="15" customHeight="1">
      <c r="A63" s="327" t="s">
        <v>394</v>
      </c>
      <c r="B63" s="331" t="s">
        <v>395</v>
      </c>
      <c r="C63" s="331" t="s">
        <v>395</v>
      </c>
      <c r="D63" s="332">
        <v>0</v>
      </c>
      <c r="E63" s="1282">
        <v>0</v>
      </c>
      <c r="F63" s="1087"/>
    </row>
    <row r="64" spans="1:6" ht="15" customHeight="1">
      <c r="A64" s="333"/>
      <c r="B64" s="334"/>
      <c r="C64" s="335"/>
      <c r="D64" s="335"/>
      <c r="E64" s="335"/>
      <c r="F64" s="1087"/>
    </row>
    <row r="65" spans="1:6" ht="15" customHeight="1">
      <c r="A65" s="1569" t="s">
        <v>340</v>
      </c>
      <c r="B65" s="1569"/>
      <c r="C65" s="1569"/>
      <c r="D65" s="1555" t="s">
        <v>300</v>
      </c>
      <c r="E65" s="1556"/>
      <c r="F65" s="1087"/>
    </row>
    <row r="66" spans="1:22" ht="15" customHeight="1">
      <c r="A66" s="1569"/>
      <c r="B66" s="1569"/>
      <c r="C66" s="1569"/>
      <c r="D66" s="1557"/>
      <c r="E66" s="1558"/>
      <c r="F66" s="1087"/>
      <c r="V66" s="703"/>
    </row>
    <row r="67" spans="1:6" ht="15" customHeight="1">
      <c r="A67" s="336" t="s">
        <v>396</v>
      </c>
      <c r="B67" s="337"/>
      <c r="C67" s="337"/>
      <c r="D67" s="1564">
        <v>12776810</v>
      </c>
      <c r="E67" s="1565"/>
      <c r="F67" s="1091"/>
    </row>
    <row r="68" spans="1:15" s="285" customFormat="1" ht="15" customHeight="1">
      <c r="A68" s="195" t="str">
        <f>'Anexo VI _ RES NOM'!A44</f>
        <v>FONTE: SECRETARIA MUNICIPAL DA FAZENDA</v>
      </c>
      <c r="B68" s="338"/>
      <c r="C68" s="338"/>
      <c r="D68" s="254"/>
      <c r="E68" s="254"/>
      <c r="O68" s="340"/>
    </row>
    <row r="69" spans="1:23" s="285" customFormat="1" ht="15" customHeight="1">
      <c r="A69" s="195" t="str">
        <f>'Anexo VI _ RES NOM'!A45</f>
        <v>  São Luís, 26 de Novembro de 2012</v>
      </c>
      <c r="B69" s="338"/>
      <c r="C69" s="338"/>
      <c r="D69" s="254"/>
      <c r="E69" s="254"/>
      <c r="O69" s="340"/>
      <c r="W69" s="704"/>
    </row>
    <row r="70" spans="1:15" s="285" customFormat="1" ht="15" customHeight="1">
      <c r="A70" s="339"/>
      <c r="B70" s="188"/>
      <c r="C70" s="179"/>
      <c r="D70" s="179"/>
      <c r="E70" s="1283"/>
      <c r="O70" s="340"/>
    </row>
    <row r="71" spans="1:5" s="340" customFormat="1" ht="12.75" customHeight="1">
      <c r="A71" s="262"/>
      <c r="B71" s="126"/>
      <c r="C71" s="126"/>
      <c r="D71" s="126"/>
      <c r="E71" s="262"/>
    </row>
  </sheetData>
  <sheetProtection/>
  <mergeCells count="11">
    <mergeCell ref="D67:E67"/>
    <mergeCell ref="A42:A43"/>
    <mergeCell ref="B42:B43"/>
    <mergeCell ref="C42:E42"/>
    <mergeCell ref="A65:C66"/>
    <mergeCell ref="D65:E66"/>
    <mergeCell ref="A1:E1"/>
    <mergeCell ref="A2:E2"/>
    <mergeCell ref="A8:A9"/>
    <mergeCell ref="B8:B9"/>
    <mergeCell ref="C8:E8"/>
  </mergeCells>
  <printOptions horizontalCentered="1"/>
  <pageMargins left="0.5097222222222222" right="0.27569444444444446" top="0.5902777777777778" bottom="0.39305555555555555" header="0.5118055555555556" footer="0.19652777777777777"/>
  <pageSetup fitToHeight="1" fitToWidth="1" horizontalDpi="300" verticalDpi="300" orientation="portrait" paperSize="9" scale="59" r:id="rId4"/>
  <headerFooter alignWithMargins="0">
    <oddFooter>&amp;C&amp;A</oddFooter>
  </headerFooter>
  <ignoredErrors>
    <ignoredError sqref="D35:E35" formulaRange="1"/>
  </ignoredError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showGridLines="0" view="pageBreakPreview" zoomScale="90" zoomScaleSheetLayoutView="90" zoomScalePageLayoutView="0" workbookViewId="0" topLeftCell="A1">
      <selection activeCell="A14" sqref="A14"/>
    </sheetView>
  </sheetViews>
  <sheetFormatPr defaultColWidth="7.8515625" defaultRowHeight="12.75"/>
  <cols>
    <col min="1" max="1" width="25.00390625" style="341" customWidth="1"/>
    <col min="2" max="4" width="17.28125" style="341" customWidth="1"/>
    <col min="5" max="5" width="17.28125" style="342" customWidth="1"/>
    <col min="6" max="7" width="17.28125" style="341" customWidth="1"/>
    <col min="8" max="16384" width="7.8515625" style="341" customWidth="1"/>
  </cols>
  <sheetData>
    <row r="1" spans="1:7" ht="11.25">
      <c r="A1" s="1570" t="s">
        <v>397</v>
      </c>
      <c r="B1" s="1570"/>
      <c r="C1" s="1570"/>
      <c r="D1" s="1570"/>
      <c r="E1" s="1570"/>
      <c r="F1" s="1570"/>
      <c r="G1" s="198" t="s">
        <v>398</v>
      </c>
    </row>
    <row r="2" spans="1:7" ht="11.25">
      <c r="A2" s="1570" t="s">
        <v>0</v>
      </c>
      <c r="B2" s="1570"/>
      <c r="C2" s="1570"/>
      <c r="D2" s="1570"/>
      <c r="E2" s="1570"/>
      <c r="F2" s="1570"/>
      <c r="G2" s="1570"/>
    </row>
    <row r="3" spans="1:7" ht="11.25">
      <c r="A3" s="1572" t="s">
        <v>399</v>
      </c>
      <c r="B3" s="1572"/>
      <c r="C3" s="1572"/>
      <c r="D3" s="1572"/>
      <c r="E3" s="1572"/>
      <c r="F3" s="1572"/>
      <c r="G3" s="1572"/>
    </row>
    <row r="4" spans="1:7" ht="11.25">
      <c r="A4" s="1570" t="s">
        <v>240</v>
      </c>
      <c r="B4" s="1570"/>
      <c r="C4" s="1570"/>
      <c r="D4" s="1570"/>
      <c r="E4" s="1570"/>
      <c r="F4" s="1570"/>
      <c r="G4" s="1570"/>
    </row>
    <row r="5" spans="1:7" ht="11.25">
      <c r="A5" s="1570" t="s">
        <v>400</v>
      </c>
      <c r="B5" s="1570"/>
      <c r="C5" s="1570"/>
      <c r="D5" s="1570"/>
      <c r="E5" s="1570"/>
      <c r="F5" s="1570"/>
      <c r="G5" s="1570"/>
    </row>
    <row r="6" spans="1:7" ht="11.25">
      <c r="A6" s="285"/>
      <c r="B6" s="285"/>
      <c r="C6" s="285"/>
      <c r="D6" s="285"/>
      <c r="E6" s="285"/>
      <c r="F6" s="285"/>
      <c r="G6" s="285"/>
    </row>
    <row r="8" ht="12.75" customHeight="1">
      <c r="A8" s="341" t="s">
        <v>401</v>
      </c>
    </row>
    <row r="9" spans="1:7" s="345" customFormat="1" ht="36" customHeight="1">
      <c r="A9" s="1571" t="s">
        <v>402</v>
      </c>
      <c r="B9" s="343" t="s">
        <v>403</v>
      </c>
      <c r="C9" s="343" t="s">
        <v>404</v>
      </c>
      <c r="D9" s="343" t="s">
        <v>405</v>
      </c>
      <c r="E9" s="343" t="s">
        <v>406</v>
      </c>
      <c r="F9" s="343" t="s">
        <v>407</v>
      </c>
      <c r="G9" s="344" t="s">
        <v>408</v>
      </c>
    </row>
    <row r="10" spans="1:7" ht="11.25" customHeight="1">
      <c r="A10" s="1571"/>
      <c r="B10" s="346" t="s">
        <v>119</v>
      </c>
      <c r="C10" s="346" t="s">
        <v>119</v>
      </c>
      <c r="D10" s="346" t="s">
        <v>119</v>
      </c>
      <c r="E10" s="346" t="s">
        <v>119</v>
      </c>
      <c r="F10" s="346" t="s">
        <v>119</v>
      </c>
      <c r="G10" s="347" t="s">
        <v>119</v>
      </c>
    </row>
    <row r="11" spans="1:7" ht="12.75" customHeight="1">
      <c r="A11" s="348"/>
      <c r="B11" s="349"/>
      <c r="C11" s="349"/>
      <c r="D11" s="349"/>
      <c r="E11" s="349"/>
      <c r="F11" s="349"/>
      <c r="G11" s="350"/>
    </row>
    <row r="12" spans="1:7" ht="12.75" customHeight="1">
      <c r="A12" s="348"/>
      <c r="B12" s="349"/>
      <c r="C12" s="349"/>
      <c r="D12" s="349"/>
      <c r="E12" s="349"/>
      <c r="F12" s="349"/>
      <c r="G12" s="350"/>
    </row>
    <row r="13" spans="1:7" ht="12.75" customHeight="1">
      <c r="A13" s="348"/>
      <c r="B13" s="349"/>
      <c r="C13" s="349"/>
      <c r="D13" s="349"/>
      <c r="E13" s="349"/>
      <c r="F13" s="349"/>
      <c r="G13" s="350"/>
    </row>
    <row r="14" spans="1:7" ht="12.75" customHeight="1">
      <c r="A14" s="348"/>
      <c r="B14" s="349"/>
      <c r="C14" s="349"/>
      <c r="D14" s="349"/>
      <c r="E14" s="349"/>
      <c r="F14" s="349"/>
      <c r="G14" s="350"/>
    </row>
    <row r="15" spans="1:7" ht="12.75" customHeight="1">
      <c r="A15" s="348"/>
      <c r="B15" s="349"/>
      <c r="C15" s="349"/>
      <c r="D15" s="349"/>
      <c r="E15" s="349"/>
      <c r="F15" s="349"/>
      <c r="G15" s="350"/>
    </row>
    <row r="16" spans="1:7" ht="12.75" customHeight="1">
      <c r="A16" s="348"/>
      <c r="B16" s="349"/>
      <c r="C16" s="349"/>
      <c r="D16" s="349"/>
      <c r="E16" s="349"/>
      <c r="F16" s="349"/>
      <c r="G16" s="350"/>
    </row>
    <row r="17" spans="1:7" ht="12.75" customHeight="1">
      <c r="A17" s="348"/>
      <c r="B17" s="349"/>
      <c r="C17" s="349"/>
      <c r="D17" s="349"/>
      <c r="E17" s="349"/>
      <c r="F17" s="349"/>
      <c r="G17" s="350"/>
    </row>
    <row r="18" spans="1:7" ht="12.75" customHeight="1">
      <c r="A18" s="348"/>
      <c r="B18" s="349"/>
      <c r="C18" s="349"/>
      <c r="D18" s="349"/>
      <c r="E18" s="349"/>
      <c r="F18" s="349"/>
      <c r="G18" s="350"/>
    </row>
    <row r="19" spans="1:7" ht="12.75" customHeight="1">
      <c r="A19" s="348"/>
      <c r="B19" s="349"/>
      <c r="C19" s="349"/>
      <c r="D19" s="349"/>
      <c r="E19" s="349"/>
      <c r="F19" s="349"/>
      <c r="G19" s="350"/>
    </row>
    <row r="20" spans="1:7" ht="12.75" customHeight="1">
      <c r="A20" s="348"/>
      <c r="B20" s="349"/>
      <c r="C20" s="349"/>
      <c r="D20" s="349"/>
      <c r="E20" s="349"/>
      <c r="F20" s="349"/>
      <c r="G20" s="350"/>
    </row>
    <row r="21" spans="1:7" ht="12.75" customHeight="1">
      <c r="A21" s="348"/>
      <c r="B21" s="349"/>
      <c r="C21" s="349"/>
      <c r="D21" s="349"/>
      <c r="E21" s="349"/>
      <c r="F21" s="349"/>
      <c r="G21" s="350"/>
    </row>
    <row r="22" spans="1:7" ht="12.75" customHeight="1">
      <c r="A22" s="348"/>
      <c r="B22" s="349"/>
      <c r="C22" s="349"/>
      <c r="D22" s="349"/>
      <c r="E22" s="349"/>
      <c r="F22" s="349"/>
      <c r="G22" s="350"/>
    </row>
    <row r="23" spans="1:7" ht="12.75" customHeight="1">
      <c r="A23" s="348"/>
      <c r="B23" s="349"/>
      <c r="C23" s="349"/>
      <c r="D23" s="349"/>
      <c r="E23" s="349"/>
      <c r="F23" s="349"/>
      <c r="G23" s="350"/>
    </row>
    <row r="24" spans="1:7" ht="12.75" customHeight="1">
      <c r="A24" s="348"/>
      <c r="B24" s="349"/>
      <c r="C24" s="349"/>
      <c r="D24" s="349"/>
      <c r="E24" s="349"/>
      <c r="F24" s="349"/>
      <c r="G24" s="350"/>
    </row>
    <row r="25" spans="1:7" ht="12.75" customHeight="1">
      <c r="A25" s="348"/>
      <c r="B25" s="349"/>
      <c r="C25" s="349"/>
      <c r="D25" s="349"/>
      <c r="E25" s="349"/>
      <c r="F25" s="349"/>
      <c r="G25" s="350"/>
    </row>
    <row r="26" spans="1:7" ht="12.75" customHeight="1">
      <c r="A26" s="348"/>
      <c r="B26" s="349"/>
      <c r="C26" s="349"/>
      <c r="D26" s="349"/>
      <c r="E26" s="349"/>
      <c r="F26" s="349"/>
      <c r="G26" s="350"/>
    </row>
    <row r="27" spans="1:7" ht="12.75" customHeight="1">
      <c r="A27" s="348"/>
      <c r="B27" s="349"/>
      <c r="C27" s="349"/>
      <c r="D27" s="349"/>
      <c r="E27" s="349"/>
      <c r="F27" s="349"/>
      <c r="G27" s="350"/>
    </row>
    <row r="28" spans="1:7" ht="12.75" customHeight="1">
      <c r="A28" s="348"/>
      <c r="B28" s="349"/>
      <c r="C28" s="349"/>
      <c r="D28" s="349"/>
      <c r="E28" s="349"/>
      <c r="F28" s="349"/>
      <c r="G28" s="350"/>
    </row>
    <row r="29" spans="1:7" ht="12.75" customHeight="1">
      <c r="A29" s="348"/>
      <c r="B29" s="349"/>
      <c r="C29" s="349"/>
      <c r="D29" s="349"/>
      <c r="E29" s="349"/>
      <c r="F29" s="349"/>
      <c r="G29" s="350"/>
    </row>
    <row r="30" spans="1:7" ht="12.75" customHeight="1">
      <c r="A30" s="348"/>
      <c r="B30" s="349"/>
      <c r="C30" s="349"/>
      <c r="D30" s="349"/>
      <c r="E30" s="349"/>
      <c r="F30" s="349"/>
      <c r="G30" s="350"/>
    </row>
    <row r="31" spans="1:7" ht="12.75" customHeight="1">
      <c r="A31" s="348"/>
      <c r="B31" s="349"/>
      <c r="C31" s="349"/>
      <c r="D31" s="349"/>
      <c r="E31" s="349"/>
      <c r="F31" s="349"/>
      <c r="G31" s="350"/>
    </row>
    <row r="32" spans="1:7" ht="12.75" customHeight="1">
      <c r="A32" s="348"/>
      <c r="B32" s="349"/>
      <c r="C32" s="349"/>
      <c r="D32" s="349"/>
      <c r="E32" s="349"/>
      <c r="F32" s="349"/>
      <c r="G32" s="350"/>
    </row>
    <row r="33" spans="1:7" ht="12.75" customHeight="1">
      <c r="A33" s="348"/>
      <c r="B33" s="349"/>
      <c r="C33" s="349"/>
      <c r="D33" s="349"/>
      <c r="E33" s="349"/>
      <c r="F33" s="349"/>
      <c r="G33" s="350"/>
    </row>
    <row r="34" spans="1:7" ht="12.75" customHeight="1">
      <c r="A34" s="351"/>
      <c r="B34" s="352"/>
      <c r="C34" s="352"/>
      <c r="D34" s="352"/>
      <c r="E34" s="352"/>
      <c r="F34" s="352"/>
      <c r="G34" s="353"/>
    </row>
    <row r="35" spans="1:7" ht="11.25">
      <c r="A35" s="341" t="s">
        <v>409</v>
      </c>
      <c r="G35" s="198"/>
    </row>
  </sheetData>
  <sheetProtection/>
  <mergeCells count="6">
    <mergeCell ref="A5:G5"/>
    <mergeCell ref="A9:A10"/>
    <mergeCell ref="A1:F1"/>
    <mergeCell ref="A2:G2"/>
    <mergeCell ref="A3:G3"/>
    <mergeCell ref="A4:G4"/>
  </mergeCells>
  <printOptions horizontalCentered="1"/>
  <pageMargins left="0.3298611111111111" right="0.3402777777777778" top="0.5902777777777778" bottom="0.39305555555555555" header="0.5118055555555556" footer="0.19652777777777777"/>
  <pageSetup horizontalDpi="300" verticalDpi="300" orientation="portrait" paperSize="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DE79"/>
  <sheetViews>
    <sheetView showGridLines="0" zoomScaleSheetLayoutView="90" zoomScalePageLayoutView="0" workbookViewId="0" topLeftCell="C49">
      <selection activeCell="I63" sqref="I63"/>
    </sheetView>
  </sheetViews>
  <sheetFormatPr defaultColWidth="3.28125" defaultRowHeight="10.5" customHeight="1"/>
  <cols>
    <col min="1" max="1" width="47.8515625" style="986" customWidth="1"/>
    <col min="2" max="2" width="12.7109375" style="987" customWidth="1"/>
    <col min="3" max="3" width="13.57421875" style="988" customWidth="1"/>
    <col min="4" max="4" width="12.28125" style="987" customWidth="1"/>
    <col min="5" max="5" width="10.7109375" style="987" customWidth="1"/>
    <col min="6" max="6" width="13.28125" style="987" customWidth="1"/>
    <col min="7" max="7" width="11.7109375" style="987" customWidth="1"/>
    <col min="8" max="8" width="13.8515625" style="987" customWidth="1"/>
    <col min="9" max="9" width="12.8515625" style="987" bestFit="1" customWidth="1"/>
    <col min="10" max="10" width="11.8515625" style="987" customWidth="1"/>
    <col min="11" max="11" width="9.7109375" style="987" customWidth="1"/>
    <col min="12" max="12" width="14.28125" style="986" hidden="1" customWidth="1"/>
    <col min="13" max="13" width="12.57421875" style="985" bestFit="1" customWidth="1"/>
    <col min="14" max="14" width="3.28125" style="985" customWidth="1"/>
    <col min="15" max="15" width="26.7109375" style="985" customWidth="1"/>
    <col min="16" max="16" width="14.28125" style="985" customWidth="1"/>
    <col min="17" max="16384" width="3.28125" style="985" customWidth="1"/>
  </cols>
  <sheetData>
    <row r="1" spans="1:12" s="909" customFormat="1" ht="15.75" customHeight="1">
      <c r="A1" s="1573" t="s">
        <v>345</v>
      </c>
      <c r="B1" s="1573"/>
      <c r="C1" s="1573"/>
      <c r="D1" s="1573"/>
      <c r="E1" s="1573"/>
      <c r="F1" s="1574"/>
      <c r="G1" s="1574"/>
      <c r="H1" s="1574"/>
      <c r="I1" s="1574"/>
      <c r="J1" s="1574"/>
      <c r="K1" s="1574"/>
      <c r="L1" s="1574"/>
    </row>
    <row r="2" spans="1:12" s="909" customFormat="1" ht="15.75" customHeight="1">
      <c r="A2" s="1573" t="s">
        <v>0</v>
      </c>
      <c r="B2" s="1573"/>
      <c r="C2" s="1573"/>
      <c r="D2" s="1573"/>
      <c r="E2" s="1573"/>
      <c r="F2" s="1573"/>
      <c r="G2" s="1573"/>
      <c r="H2" s="1573"/>
      <c r="I2" s="1573"/>
      <c r="J2" s="1573"/>
      <c r="K2" s="1573"/>
      <c r="L2" s="1573"/>
    </row>
    <row r="3" spans="1:12" s="909" customFormat="1" ht="15.75" customHeight="1">
      <c r="A3" s="910" t="s">
        <v>410</v>
      </c>
      <c r="B3" s="911"/>
      <c r="C3" s="911"/>
      <c r="D3" s="911"/>
      <c r="E3" s="911"/>
      <c r="F3" s="911"/>
      <c r="G3" s="911"/>
      <c r="H3" s="911"/>
      <c r="I3" s="911"/>
      <c r="J3" s="912" t="str">
        <f>'Anexo VII _ RES PRIM'!D3</f>
        <v>Publicação: Diário Oficial do Município nº 227</v>
      </c>
      <c r="K3" s="913"/>
      <c r="L3" s="913"/>
    </row>
    <row r="4" spans="1:12" s="909" customFormat="1" ht="15.75" customHeight="1">
      <c r="A4" s="908" t="s">
        <v>2</v>
      </c>
      <c r="B4" s="914"/>
      <c r="C4" s="914"/>
      <c r="D4" s="914"/>
      <c r="E4" s="914"/>
      <c r="F4" s="914"/>
      <c r="G4" s="914"/>
      <c r="H4" s="914"/>
      <c r="I4" s="914"/>
      <c r="J4" s="912" t="str">
        <f>'Anexo VII _ RES PRIM'!D4</f>
        <v>Data: 26/11/2012</v>
      </c>
      <c r="K4" s="914"/>
      <c r="L4" s="915"/>
    </row>
    <row r="5" spans="1:12" s="918" customFormat="1" ht="15.75" customHeight="1">
      <c r="A5" s="1573" t="str">
        <f>'Anexo VII _ RES PRIM'!A5</f>
        <v>Referência: JANEIRO-OUTUBRO/2012; BIMESTRE: SETEMBRO/OUTUBRO/2012</v>
      </c>
      <c r="B5" s="1573"/>
      <c r="C5" s="1573"/>
      <c r="D5" s="1573"/>
      <c r="E5" s="1573"/>
      <c r="F5" s="1573"/>
      <c r="G5" s="1077"/>
      <c r="H5" s="916"/>
      <c r="I5" s="916"/>
      <c r="J5" s="916"/>
      <c r="K5" s="916"/>
      <c r="L5" s="917"/>
    </row>
    <row r="6" spans="1:12" s="909" customFormat="1" ht="10.5" customHeight="1">
      <c r="A6" s="919"/>
      <c r="B6" s="920"/>
      <c r="C6" s="921"/>
      <c r="D6" s="922"/>
      <c r="E6" s="923"/>
      <c r="F6" s="924"/>
      <c r="G6" s="924"/>
      <c r="H6" s="960"/>
      <c r="I6" s="922"/>
      <c r="J6" s="922"/>
      <c r="K6" s="922"/>
      <c r="L6" s="1021"/>
    </row>
    <row r="7" spans="1:12" s="909" customFormat="1" ht="10.5" customHeight="1">
      <c r="A7" s="925" t="s">
        <v>680</v>
      </c>
      <c r="B7" s="926"/>
      <c r="C7" s="921"/>
      <c r="D7" s="922"/>
      <c r="E7" s="923"/>
      <c r="F7" s="924"/>
      <c r="G7" s="924"/>
      <c r="H7" s="922"/>
      <c r="I7" s="922"/>
      <c r="J7" s="922"/>
      <c r="K7" s="922"/>
      <c r="L7" s="927"/>
    </row>
    <row r="8" spans="1:13" s="909" customFormat="1" ht="15" customHeight="1">
      <c r="A8" s="1575" t="s">
        <v>411</v>
      </c>
      <c r="B8" s="1576" t="s">
        <v>567</v>
      </c>
      <c r="C8" s="1576"/>
      <c r="D8" s="1576"/>
      <c r="E8" s="1576"/>
      <c r="F8" s="1576"/>
      <c r="G8" s="1579" t="s">
        <v>712</v>
      </c>
      <c r="H8" s="1580"/>
      <c r="I8" s="1580"/>
      <c r="J8" s="1580"/>
      <c r="K8" s="1580"/>
      <c r="L8" s="1580"/>
      <c r="M8" s="1581"/>
    </row>
    <row r="9" spans="1:15" s="909" customFormat="1" ht="16.5" customHeight="1" thickBot="1">
      <c r="A9" s="1575"/>
      <c r="B9" s="1577" t="s">
        <v>412</v>
      </c>
      <c r="C9" s="1577"/>
      <c r="D9" s="1576" t="s">
        <v>414</v>
      </c>
      <c r="E9" s="1576" t="s">
        <v>413</v>
      </c>
      <c r="F9" s="1576" t="s">
        <v>710</v>
      </c>
      <c r="G9" s="1582" t="s">
        <v>412</v>
      </c>
      <c r="H9" s="1583"/>
      <c r="I9" s="1585" t="s">
        <v>711</v>
      </c>
      <c r="J9" s="1576" t="s">
        <v>414</v>
      </c>
      <c r="K9" s="1576" t="s">
        <v>413</v>
      </c>
      <c r="L9" s="1584" t="s">
        <v>415</v>
      </c>
      <c r="M9" s="1578" t="s">
        <v>710</v>
      </c>
      <c r="O9" s="930"/>
    </row>
    <row r="10" spans="1:15" s="909" customFormat="1" ht="33" customHeight="1">
      <c r="A10" s="1575"/>
      <c r="B10" s="928" t="s">
        <v>416</v>
      </c>
      <c r="C10" s="929" t="s">
        <v>687</v>
      </c>
      <c r="D10" s="1576"/>
      <c r="E10" s="1576"/>
      <c r="F10" s="1576"/>
      <c r="G10" s="928" t="s">
        <v>416</v>
      </c>
      <c r="H10" s="929" t="s">
        <v>688</v>
      </c>
      <c r="I10" s="1586"/>
      <c r="J10" s="1576"/>
      <c r="K10" s="1576"/>
      <c r="L10" s="1584"/>
      <c r="M10" s="1578"/>
      <c r="O10" s="930"/>
    </row>
    <row r="11" spans="1:15" s="932" customFormat="1" ht="27.75" customHeight="1">
      <c r="A11" s="1171" t="s">
        <v>417</v>
      </c>
      <c r="B11" s="931">
        <f aca="true" t="shared" si="0" ref="B11:M11">B12+B14</f>
        <v>89239409.75000001</v>
      </c>
      <c r="C11" s="931">
        <f t="shared" si="0"/>
        <v>195903911.97000003</v>
      </c>
      <c r="D11" s="931">
        <f t="shared" si="0"/>
        <v>208660617.19</v>
      </c>
      <c r="E11" s="931">
        <f t="shared" si="0"/>
        <v>1288192.7999999998</v>
      </c>
      <c r="F11" s="931">
        <f t="shared" si="0"/>
        <v>75194511.73000005</v>
      </c>
      <c r="G11" s="931">
        <f t="shared" si="0"/>
        <v>56404806.06000002</v>
      </c>
      <c r="H11" s="931">
        <f t="shared" si="0"/>
        <v>178132577.25999996</v>
      </c>
      <c r="I11" s="931">
        <f t="shared" si="0"/>
        <v>0</v>
      </c>
      <c r="J11" s="931">
        <f t="shared" si="0"/>
        <v>39598537.25</v>
      </c>
      <c r="K11" s="931">
        <f t="shared" si="0"/>
        <v>48561.51</v>
      </c>
      <c r="L11" s="1154">
        <f t="shared" si="0"/>
        <v>194890284.56</v>
      </c>
      <c r="M11" s="931">
        <f t="shared" si="0"/>
        <v>194890284.56</v>
      </c>
      <c r="O11" s="933"/>
    </row>
    <row r="12" spans="1:15" s="909" customFormat="1" ht="19.5" customHeight="1">
      <c r="A12" s="1172" t="s">
        <v>772</v>
      </c>
      <c r="B12" s="934">
        <f>B13</f>
        <v>690407.67</v>
      </c>
      <c r="C12" s="935">
        <f>C13</f>
        <v>0</v>
      </c>
      <c r="D12" s="936">
        <f>D13</f>
        <v>0</v>
      </c>
      <c r="E12" s="936">
        <v>0</v>
      </c>
      <c r="F12" s="937">
        <f aca="true" t="shared" si="1" ref="F12:K12">F13</f>
        <v>690407.67</v>
      </c>
      <c r="G12" s="937">
        <f t="shared" si="1"/>
        <v>96816.94999999995</v>
      </c>
      <c r="H12" s="937">
        <f t="shared" si="1"/>
        <v>0</v>
      </c>
      <c r="I12" s="937">
        <f t="shared" si="1"/>
        <v>0</v>
      </c>
      <c r="J12" s="937">
        <f t="shared" si="1"/>
        <v>0</v>
      </c>
      <c r="K12" s="936">
        <f t="shared" si="1"/>
        <v>0</v>
      </c>
      <c r="L12" s="938">
        <f>G12+H12-J12-K12</f>
        <v>96816.94999999995</v>
      </c>
      <c r="M12" s="936">
        <f>M13</f>
        <v>96816.94999999995</v>
      </c>
      <c r="O12" s="930"/>
    </row>
    <row r="13" spans="1:15" s="909" customFormat="1" ht="19.5" customHeight="1">
      <c r="A13" s="1173" t="s">
        <v>418</v>
      </c>
      <c r="B13" s="934">
        <f>787224.62-G13</f>
        <v>690407.67</v>
      </c>
      <c r="C13" s="939">
        <v>0</v>
      </c>
      <c r="D13" s="934">
        <v>0</v>
      </c>
      <c r="E13" s="934">
        <v>0</v>
      </c>
      <c r="F13" s="940">
        <f>B13+C13-D13-E13</f>
        <v>690407.67</v>
      </c>
      <c r="G13" s="940">
        <f>787224.62-690407.67</f>
        <v>96816.94999999995</v>
      </c>
      <c r="H13" s="939">
        <v>0</v>
      </c>
      <c r="I13" s="1169"/>
      <c r="J13" s="934"/>
      <c r="K13" s="934"/>
      <c r="L13" s="941">
        <f>G13+H13-J13-K13</f>
        <v>96816.94999999995</v>
      </c>
      <c r="M13" s="1186">
        <f>G13+H13-J13-K13</f>
        <v>96816.94999999995</v>
      </c>
      <c r="O13" s="942"/>
    </row>
    <row r="14" spans="1:109" s="945" customFormat="1" ht="24.75" customHeight="1">
      <c r="A14" s="1174" t="s">
        <v>419</v>
      </c>
      <c r="B14" s="943">
        <f aca="true" t="shared" si="2" ref="B14:M14">B15+B45</f>
        <v>88549002.08000001</v>
      </c>
      <c r="C14" s="944">
        <f t="shared" si="2"/>
        <v>195903911.97000003</v>
      </c>
      <c r="D14" s="943">
        <f t="shared" si="2"/>
        <v>208660617.19</v>
      </c>
      <c r="E14" s="943">
        <f t="shared" si="2"/>
        <v>1288192.7999999998</v>
      </c>
      <c r="F14" s="943">
        <f t="shared" si="2"/>
        <v>74504104.06000005</v>
      </c>
      <c r="G14" s="943">
        <f t="shared" si="2"/>
        <v>56307989.110000014</v>
      </c>
      <c r="H14" s="943">
        <f t="shared" si="2"/>
        <v>178132577.25999996</v>
      </c>
      <c r="I14" s="943">
        <f t="shared" si="2"/>
        <v>0</v>
      </c>
      <c r="J14" s="943">
        <f t="shared" si="2"/>
        <v>39598537.25</v>
      </c>
      <c r="K14" s="943">
        <f t="shared" si="2"/>
        <v>48561.51</v>
      </c>
      <c r="L14" s="1155">
        <f t="shared" si="2"/>
        <v>194793467.61</v>
      </c>
      <c r="M14" s="943">
        <f t="shared" si="2"/>
        <v>194793467.61</v>
      </c>
      <c r="N14" s="1092"/>
      <c r="O14" s="1093"/>
      <c r="P14" s="1092"/>
      <c r="Q14" s="1092"/>
      <c r="R14" s="1092"/>
      <c r="S14" s="1092"/>
      <c r="T14" s="1092"/>
      <c r="U14" s="1092"/>
      <c r="V14" s="1092"/>
      <c r="W14" s="1092"/>
      <c r="X14" s="1092"/>
      <c r="Y14" s="1092"/>
      <c r="Z14" s="1092"/>
      <c r="AA14" s="1092"/>
      <c r="AB14" s="1092"/>
      <c r="AC14" s="1092"/>
      <c r="AD14" s="1092"/>
      <c r="AE14" s="1092"/>
      <c r="AF14" s="1092"/>
      <c r="AG14" s="1092"/>
      <c r="AH14" s="1092"/>
      <c r="AI14" s="1092"/>
      <c r="AJ14" s="1092"/>
      <c r="AK14" s="1092"/>
      <c r="AL14" s="1092"/>
      <c r="AM14" s="1092"/>
      <c r="AN14" s="1092"/>
      <c r="AO14" s="1092"/>
      <c r="AP14" s="1092"/>
      <c r="AQ14" s="1092"/>
      <c r="AR14" s="1092"/>
      <c r="AS14" s="1092"/>
      <c r="AT14" s="1092"/>
      <c r="AU14" s="1092"/>
      <c r="AV14" s="1092"/>
      <c r="AW14" s="1092"/>
      <c r="AX14" s="1092"/>
      <c r="AY14" s="1092"/>
      <c r="AZ14" s="1092"/>
      <c r="BA14" s="1092"/>
      <c r="BB14" s="1092"/>
      <c r="BC14" s="1092"/>
      <c r="BD14" s="1092"/>
      <c r="BE14" s="1092"/>
      <c r="BF14" s="1092"/>
      <c r="BG14" s="1092"/>
      <c r="BH14" s="1092"/>
      <c r="BI14" s="1092"/>
      <c r="BJ14" s="1092"/>
      <c r="BK14" s="1092"/>
      <c r="BL14" s="1092"/>
      <c r="BM14" s="1092"/>
      <c r="BN14" s="1092"/>
      <c r="BO14" s="1092"/>
      <c r="BP14" s="1092"/>
      <c r="BQ14" s="1092"/>
      <c r="BR14" s="1092"/>
      <c r="BS14" s="1092"/>
      <c r="BT14" s="1092"/>
      <c r="BU14" s="1092"/>
      <c r="BV14" s="1092"/>
      <c r="BW14" s="1092"/>
      <c r="BX14" s="1092"/>
      <c r="BY14" s="1092"/>
      <c r="BZ14" s="1092"/>
      <c r="CA14" s="1092"/>
      <c r="CB14" s="1092"/>
      <c r="CC14" s="1092"/>
      <c r="CD14" s="1092"/>
      <c r="CE14" s="1092"/>
      <c r="CF14" s="1092"/>
      <c r="CG14" s="1092"/>
      <c r="CH14" s="1092"/>
      <c r="CI14" s="1092"/>
      <c r="CJ14" s="1092"/>
      <c r="CK14" s="1092"/>
      <c r="CL14" s="1092"/>
      <c r="CM14" s="1092"/>
      <c r="CN14" s="1092"/>
      <c r="CO14" s="1092"/>
      <c r="CP14" s="1092"/>
      <c r="CQ14" s="1092"/>
      <c r="CR14" s="1092"/>
      <c r="CS14" s="1092"/>
      <c r="CT14" s="1092"/>
      <c r="CU14" s="1092"/>
      <c r="CV14" s="1092"/>
      <c r="CW14" s="1092"/>
      <c r="CX14" s="1092"/>
      <c r="CY14" s="1092"/>
      <c r="CZ14" s="1092"/>
      <c r="DA14" s="1092"/>
      <c r="DB14" s="1092"/>
      <c r="DC14" s="1092"/>
      <c r="DD14" s="1092"/>
      <c r="DE14" s="1092"/>
    </row>
    <row r="15" spans="1:109" s="947" customFormat="1" ht="19.5" customHeight="1">
      <c r="A15" s="1175" t="s">
        <v>773</v>
      </c>
      <c r="B15" s="946">
        <f aca="true" t="shared" si="3" ref="B15:M15">SUM(B16:B43)</f>
        <v>72695628.74000001</v>
      </c>
      <c r="C15" s="937">
        <f t="shared" si="3"/>
        <v>139611836.5</v>
      </c>
      <c r="D15" s="937">
        <f t="shared" si="3"/>
        <v>151028298.62</v>
      </c>
      <c r="E15" s="937">
        <f t="shared" si="3"/>
        <v>792097.0399999999</v>
      </c>
      <c r="F15" s="937">
        <f t="shared" si="3"/>
        <v>60487069.58000001</v>
      </c>
      <c r="G15" s="937">
        <f t="shared" si="3"/>
        <v>46144425.140000015</v>
      </c>
      <c r="H15" s="937">
        <f t="shared" si="3"/>
        <v>146040356.51999998</v>
      </c>
      <c r="I15" s="937">
        <f t="shared" si="3"/>
        <v>0</v>
      </c>
      <c r="J15" s="937">
        <f t="shared" si="3"/>
        <v>34555326.56</v>
      </c>
      <c r="K15" s="937">
        <f t="shared" si="3"/>
        <v>46055.47</v>
      </c>
      <c r="L15" s="938">
        <f t="shared" si="3"/>
        <v>157583399.63000005</v>
      </c>
      <c r="M15" s="937">
        <f t="shared" si="3"/>
        <v>157583399.63000005</v>
      </c>
      <c r="N15" s="1094"/>
      <c r="O15" s="1095"/>
      <c r="P15" s="1094"/>
      <c r="Q15" s="1094"/>
      <c r="R15" s="1094"/>
      <c r="S15" s="1094"/>
      <c r="T15" s="1094"/>
      <c r="U15" s="1094"/>
      <c r="V15" s="1094"/>
      <c r="W15" s="1094"/>
      <c r="X15" s="1094"/>
      <c r="Y15" s="1094"/>
      <c r="Z15" s="1094"/>
      <c r="AA15" s="1094"/>
      <c r="AB15" s="1094"/>
      <c r="AC15" s="1094"/>
      <c r="AD15" s="1094"/>
      <c r="AE15" s="1094"/>
      <c r="AF15" s="1094"/>
      <c r="AG15" s="1094"/>
      <c r="AH15" s="1094"/>
      <c r="AI15" s="1094"/>
      <c r="AJ15" s="1094"/>
      <c r="AK15" s="1094"/>
      <c r="AL15" s="1094"/>
      <c r="AM15" s="1094"/>
      <c r="AN15" s="1094"/>
      <c r="AO15" s="1094"/>
      <c r="AP15" s="1094"/>
      <c r="AQ15" s="1094"/>
      <c r="AR15" s="1094"/>
      <c r="AS15" s="1094"/>
      <c r="AT15" s="1094"/>
      <c r="AU15" s="1094"/>
      <c r="AV15" s="1094"/>
      <c r="AW15" s="1094"/>
      <c r="AX15" s="1094"/>
      <c r="AY15" s="1094"/>
      <c r="AZ15" s="1094"/>
      <c r="BA15" s="1094"/>
      <c r="BB15" s="1094"/>
      <c r="BC15" s="1094"/>
      <c r="BD15" s="1094"/>
      <c r="BE15" s="1094"/>
      <c r="BF15" s="1094"/>
      <c r="BG15" s="1094"/>
      <c r="BH15" s="1094"/>
      <c r="BI15" s="1094"/>
      <c r="BJ15" s="1094"/>
      <c r="BK15" s="1094"/>
      <c r="BL15" s="1094"/>
      <c r="BM15" s="1094"/>
      <c r="BN15" s="1094"/>
      <c r="BO15" s="1094"/>
      <c r="BP15" s="1094"/>
      <c r="BQ15" s="1094"/>
      <c r="BR15" s="1094"/>
      <c r="BS15" s="1094"/>
      <c r="BT15" s="1094"/>
      <c r="BU15" s="1094"/>
      <c r="BV15" s="1094"/>
      <c r="BW15" s="1094"/>
      <c r="BX15" s="1094"/>
      <c r="BY15" s="1094"/>
      <c r="BZ15" s="1094"/>
      <c r="CA15" s="1094"/>
      <c r="CB15" s="1094"/>
      <c r="CC15" s="1094"/>
      <c r="CD15" s="1094"/>
      <c r="CE15" s="1094"/>
      <c r="CF15" s="1094"/>
      <c r="CG15" s="1094"/>
      <c r="CH15" s="1094"/>
      <c r="CI15" s="1094"/>
      <c r="CJ15" s="1094"/>
      <c r="CK15" s="1094"/>
      <c r="CL15" s="1094"/>
      <c r="CM15" s="1094"/>
      <c r="CN15" s="1094"/>
      <c r="CO15" s="1094"/>
      <c r="CP15" s="1094"/>
      <c r="CQ15" s="1094"/>
      <c r="CR15" s="1094"/>
      <c r="CS15" s="1094"/>
      <c r="CT15" s="1094"/>
      <c r="CU15" s="1094"/>
      <c r="CV15" s="1094"/>
      <c r="CW15" s="1094"/>
      <c r="CX15" s="1094"/>
      <c r="CY15" s="1094"/>
      <c r="CZ15" s="1094"/>
      <c r="DA15" s="1094"/>
      <c r="DB15" s="1094"/>
      <c r="DC15" s="1094"/>
      <c r="DD15" s="1094"/>
      <c r="DE15" s="1094"/>
    </row>
    <row r="16" spans="1:15" s="909" customFormat="1" ht="19.5" customHeight="1">
      <c r="A16" s="1176" t="s">
        <v>420</v>
      </c>
      <c r="B16" s="934">
        <f>35557.35-35378</f>
        <v>179.34999999999854</v>
      </c>
      <c r="C16" s="948">
        <f>761553.67-H16</f>
        <v>283932.21999999706</v>
      </c>
      <c r="D16" s="940">
        <f>702160.64-418049.07</f>
        <v>284111.57</v>
      </c>
      <c r="E16" s="940"/>
      <c r="F16" s="940">
        <f aca="true" t="shared" si="4" ref="F16:F43">B16+C16-D16-E16</f>
        <v>-2.9685907065868378E-09</v>
      </c>
      <c r="G16" s="940">
        <v>0</v>
      </c>
      <c r="H16" s="948">
        <f>65548342.09-65070720.64</f>
        <v>477621.450000003</v>
      </c>
      <c r="I16" s="948"/>
      <c r="J16" s="940">
        <v>418049.07</v>
      </c>
      <c r="K16" s="940">
        <v>24131.24</v>
      </c>
      <c r="L16" s="941">
        <f aca="true" t="shared" si="5" ref="L16:L43">G16+H16-J16-K16</f>
        <v>35441.14000000297</v>
      </c>
      <c r="M16" s="1186">
        <f aca="true" t="shared" si="6" ref="M16:M43">G16+H16-J16-K16</f>
        <v>35441.14000000297</v>
      </c>
      <c r="O16" s="949"/>
    </row>
    <row r="17" spans="1:15" s="909" customFormat="1" ht="19.5" customHeight="1">
      <c r="A17" s="1176" t="s">
        <v>421</v>
      </c>
      <c r="B17" s="934">
        <f>12857+6618.98+6009.45</f>
        <v>25485.43</v>
      </c>
      <c r="C17" s="948">
        <f>29601.17-H17</f>
        <v>17676.589999999924</v>
      </c>
      <c r="D17" s="940">
        <f>16727.37</f>
        <v>16727.37</v>
      </c>
      <c r="E17" s="940">
        <f>950+7830</f>
        <v>8780</v>
      </c>
      <c r="F17" s="940">
        <f t="shared" si="4"/>
        <v>17654.649999999925</v>
      </c>
      <c r="G17" s="940">
        <v>0</v>
      </c>
      <c r="H17" s="940">
        <f>834476.28-822551.7</f>
        <v>11924.580000000075</v>
      </c>
      <c r="I17" s="940"/>
      <c r="J17" s="940"/>
      <c r="K17" s="940"/>
      <c r="L17" s="941">
        <f t="shared" si="5"/>
        <v>11924.580000000075</v>
      </c>
      <c r="M17" s="1186">
        <f t="shared" si="6"/>
        <v>11924.580000000075</v>
      </c>
      <c r="O17" s="930"/>
    </row>
    <row r="18" spans="1:15" s="909" customFormat="1" ht="19.5" customHeight="1">
      <c r="A18" s="1176" t="s">
        <v>422</v>
      </c>
      <c r="B18" s="934">
        <f>11038.25+8228.2+35417.03-G18</f>
        <v>48384.52</v>
      </c>
      <c r="C18" s="948">
        <f>350889.51-H18</f>
        <v>107911.67999999993</v>
      </c>
      <c r="D18" s="940">
        <f>198092.51+158.65+700-42654.96</f>
        <v>156296.2</v>
      </c>
      <c r="E18" s="940"/>
      <c r="F18" s="940">
        <f t="shared" si="4"/>
        <v>-8.731149137020111E-11</v>
      </c>
      <c r="G18" s="940">
        <f>214288.33-208216.83+8228.2-8000.81+35417.03-35416.96</f>
        <v>6298.959999999999</v>
      </c>
      <c r="H18" s="940">
        <f>11282013.6-11039035.77</f>
        <v>242977.83000000007</v>
      </c>
      <c r="I18" s="940"/>
      <c r="J18" s="940">
        <v>42654.96</v>
      </c>
      <c r="K18" s="940">
        <v>9200</v>
      </c>
      <c r="L18" s="941">
        <f t="shared" si="5"/>
        <v>197421.83000000007</v>
      </c>
      <c r="M18" s="1186">
        <f t="shared" si="6"/>
        <v>197421.83000000007</v>
      </c>
      <c r="O18" s="942"/>
    </row>
    <row r="19" spans="1:15" s="909" customFormat="1" ht="19.5" customHeight="1">
      <c r="A19" s="1176" t="s">
        <v>423</v>
      </c>
      <c r="B19" s="934">
        <f>169680.98+0.9+0.01</f>
        <v>169681.89</v>
      </c>
      <c r="C19" s="948">
        <f>45651.23-H19</f>
        <v>43839.8700000006</v>
      </c>
      <c r="D19" s="940">
        <f>43400.12</f>
        <v>43400.12</v>
      </c>
      <c r="E19" s="940"/>
      <c r="F19" s="940">
        <f t="shared" si="4"/>
        <v>170121.64000000063</v>
      </c>
      <c r="G19" s="940">
        <v>0</v>
      </c>
      <c r="H19" s="940">
        <f>4382187.22-4380375.86</f>
        <v>1811.359999999404</v>
      </c>
      <c r="I19" s="940"/>
      <c r="J19" s="1170"/>
      <c r="K19" s="940"/>
      <c r="L19" s="941">
        <f t="shared" si="5"/>
        <v>1811.359999999404</v>
      </c>
      <c r="M19" s="1186">
        <f t="shared" si="6"/>
        <v>1811.359999999404</v>
      </c>
      <c r="O19" s="942"/>
    </row>
    <row r="20" spans="1:15" s="909" customFormat="1" ht="19.5" customHeight="1">
      <c r="A20" s="1176" t="s">
        <v>749</v>
      </c>
      <c r="B20" s="934">
        <f>865.44</f>
        <v>865.44</v>
      </c>
      <c r="C20" s="948">
        <f>28764.05-H20</f>
        <v>15914.180000000004</v>
      </c>
      <c r="D20" s="940">
        <f>9431.61</f>
        <v>9431.61</v>
      </c>
      <c r="E20" s="940"/>
      <c r="F20" s="940">
        <f t="shared" si="4"/>
        <v>7348.010000000002</v>
      </c>
      <c r="G20" s="940">
        <v>0</v>
      </c>
      <c r="H20" s="940">
        <f>1006890.19-994040.32</f>
        <v>12849.869999999995</v>
      </c>
      <c r="I20" s="940"/>
      <c r="J20" s="940"/>
      <c r="K20" s="940"/>
      <c r="L20" s="941">
        <f t="shared" si="5"/>
        <v>12849.869999999995</v>
      </c>
      <c r="M20" s="1186">
        <f t="shared" si="6"/>
        <v>12849.869999999995</v>
      </c>
      <c r="O20" s="942"/>
    </row>
    <row r="21" spans="1:13" s="909" customFormat="1" ht="19.5" customHeight="1">
      <c r="A21" s="1176" t="s">
        <v>750</v>
      </c>
      <c r="B21" s="934">
        <v>0</v>
      </c>
      <c r="C21" s="948">
        <f>30769.72-H21</f>
        <v>30679.699999999983</v>
      </c>
      <c r="D21" s="940">
        <v>30679.69</v>
      </c>
      <c r="E21" s="940"/>
      <c r="F21" s="940">
        <f>B21+C21-D21-E21</f>
        <v>0.009999999983847374</v>
      </c>
      <c r="G21" s="940">
        <v>0</v>
      </c>
      <c r="H21" s="940">
        <f>702226.09-702136.07</f>
        <v>90.02000000001863</v>
      </c>
      <c r="I21" s="940"/>
      <c r="J21" s="940"/>
      <c r="K21" s="940"/>
      <c r="L21" s="941">
        <f t="shared" si="5"/>
        <v>90.02000000001863</v>
      </c>
      <c r="M21" s="1186">
        <f t="shared" si="6"/>
        <v>90.02000000001863</v>
      </c>
    </row>
    <row r="22" spans="1:15" s="909" customFormat="1" ht="19.5" customHeight="1">
      <c r="A22" s="1176" t="s">
        <v>751</v>
      </c>
      <c r="B22" s="934">
        <f>7994.9</f>
        <v>7994.9</v>
      </c>
      <c r="C22" s="948">
        <f>3797142.52-H22</f>
        <v>3797142.52</v>
      </c>
      <c r="D22" s="940">
        <f>3791706.82</f>
        <v>3791706.82</v>
      </c>
      <c r="E22" s="940"/>
      <c r="F22" s="940">
        <f t="shared" si="4"/>
        <v>13430.600000000093</v>
      </c>
      <c r="G22" s="940">
        <v>0</v>
      </c>
      <c r="H22" s="940">
        <v>0</v>
      </c>
      <c r="I22" s="940"/>
      <c r="J22" s="940"/>
      <c r="K22" s="940"/>
      <c r="L22" s="941">
        <f t="shared" si="5"/>
        <v>0</v>
      </c>
      <c r="M22" s="1186">
        <f t="shared" si="6"/>
        <v>0</v>
      </c>
      <c r="O22" s="942"/>
    </row>
    <row r="23" spans="1:15" s="909" customFormat="1" ht="19.5" customHeight="1">
      <c r="A23" s="1176" t="s">
        <v>424</v>
      </c>
      <c r="B23" s="934">
        <f>5590+1481.23+1850.73</f>
        <v>8921.96</v>
      </c>
      <c r="C23" s="948">
        <f>335562.79-H23</f>
        <v>197479.12999999983</v>
      </c>
      <c r="D23" s="940">
        <f>5590+237796.77-36985.68</f>
        <v>206401.09</v>
      </c>
      <c r="E23" s="940"/>
      <c r="F23" s="940">
        <f t="shared" si="4"/>
        <v>-1.7462298274040222E-10</v>
      </c>
      <c r="G23" s="940">
        <v>0</v>
      </c>
      <c r="H23" s="940">
        <f>3381040-3242956.34</f>
        <v>138083.66000000015</v>
      </c>
      <c r="I23" s="940"/>
      <c r="J23" s="940">
        <v>36985.68</v>
      </c>
      <c r="K23" s="940"/>
      <c r="L23" s="941">
        <f t="shared" si="5"/>
        <v>101097.98000000016</v>
      </c>
      <c r="M23" s="1186">
        <f t="shared" si="6"/>
        <v>101097.98000000016</v>
      </c>
      <c r="O23" s="942"/>
    </row>
    <row r="24" spans="1:13" s="909" customFormat="1" ht="19.5" customHeight="1">
      <c r="A24" s="1176" t="s">
        <v>425</v>
      </c>
      <c r="B24" s="934">
        <v>0</v>
      </c>
      <c r="C24" s="948">
        <v>0</v>
      </c>
      <c r="D24" s="948">
        <v>0</v>
      </c>
      <c r="E24" s="940"/>
      <c r="F24" s="940">
        <f>B24+C24-D24-E24</f>
        <v>0</v>
      </c>
      <c r="G24" s="940">
        <f>65091.8-60668.79</f>
        <v>4423.010000000002</v>
      </c>
      <c r="H24" s="940">
        <v>0</v>
      </c>
      <c r="I24" s="940"/>
      <c r="J24" s="940"/>
      <c r="K24" s="940"/>
      <c r="L24" s="941">
        <f t="shared" si="5"/>
        <v>4423.010000000002</v>
      </c>
      <c r="M24" s="1186">
        <f t="shared" si="6"/>
        <v>4423.010000000002</v>
      </c>
    </row>
    <row r="25" spans="1:15" s="909" customFormat="1" ht="19.5" customHeight="1">
      <c r="A25" s="1176" t="s">
        <v>426</v>
      </c>
      <c r="B25" s="934">
        <f>24059.08</f>
        <v>24059.08</v>
      </c>
      <c r="C25" s="948">
        <f>953098.58-H25</f>
        <v>659730.9000000003</v>
      </c>
      <c r="D25" s="940">
        <f>814680.36-130890.38</f>
        <v>683789.98</v>
      </c>
      <c r="E25" s="940"/>
      <c r="F25" s="940">
        <f>B25+C25-D25-E25</f>
        <v>2.3283064365386963E-10</v>
      </c>
      <c r="G25" s="940">
        <v>0</v>
      </c>
      <c r="H25" s="940">
        <f>15589456.36-15296088.68</f>
        <v>293367.6799999997</v>
      </c>
      <c r="I25" s="940"/>
      <c r="J25" s="940">
        <v>130890.38</v>
      </c>
      <c r="K25" s="940">
        <v>3227.7</v>
      </c>
      <c r="L25" s="941">
        <f t="shared" si="5"/>
        <v>159249.5999999997</v>
      </c>
      <c r="M25" s="1186">
        <f t="shared" si="6"/>
        <v>159249.5999999997</v>
      </c>
      <c r="O25" s="942"/>
    </row>
    <row r="26" spans="1:15" s="909" customFormat="1" ht="19.5" customHeight="1">
      <c r="A26" s="1176" t="s">
        <v>752</v>
      </c>
      <c r="B26" s="934">
        <f>31369220.28+3349664.38+910046.72-G26</f>
        <v>7953678.07</v>
      </c>
      <c r="C26" s="950">
        <f>111742811.49-H26</f>
        <v>60723679.32000001</v>
      </c>
      <c r="D26" s="940">
        <f>87139251.74+4819481.59-23281375.94</f>
        <v>68677357.39</v>
      </c>
      <c r="E26" s="940"/>
      <c r="F26" s="940">
        <f t="shared" si="4"/>
        <v>1.4901161193847656E-08</v>
      </c>
      <c r="G26" s="940">
        <f>133004372.77-105527648.32+3793053.02-3603599.93+1286190.16-1277114.39</f>
        <v>27675253.310000002</v>
      </c>
      <c r="H26" s="940">
        <f>296186251.82-245167119.65</f>
        <v>51019132.16999999</v>
      </c>
      <c r="I26" s="940"/>
      <c r="J26" s="940">
        <v>23281375.94</v>
      </c>
      <c r="K26" s="940"/>
      <c r="L26" s="941">
        <f t="shared" si="5"/>
        <v>55413009.53999999</v>
      </c>
      <c r="M26" s="1186">
        <f t="shared" si="6"/>
        <v>55413009.53999999</v>
      </c>
      <c r="O26" s="942"/>
    </row>
    <row r="27" spans="1:15" s="909" customFormat="1" ht="19.5" customHeight="1">
      <c r="A27" s="1176" t="s">
        <v>787</v>
      </c>
      <c r="B27" s="934">
        <f>9526392.04+2692214.55+496126.76-G27</f>
        <v>8906649.589999996</v>
      </c>
      <c r="C27" s="948">
        <f>83147737.82-H27</f>
        <v>33828883.83999999</v>
      </c>
      <c r="D27" s="940">
        <f>35170562.95+1153095.56+53567.69</f>
        <v>36377226.2</v>
      </c>
      <c r="E27" s="940">
        <f>447075+332428.48</f>
        <v>779503.48</v>
      </c>
      <c r="F27" s="940">
        <f t="shared" si="4"/>
        <v>5578803.749999981</v>
      </c>
      <c r="G27" s="940">
        <f>40788488.67-38955732.9+4148929.65-2496411.87+608626.76-285816.55</f>
        <v>3808083.7600000035</v>
      </c>
      <c r="H27" s="940">
        <f>156102261.97-106783407.99</f>
        <v>49318853.980000004</v>
      </c>
      <c r="I27" s="940"/>
      <c r="J27" s="940"/>
      <c r="K27" s="940"/>
      <c r="L27" s="941">
        <f t="shared" si="5"/>
        <v>53126937.74000001</v>
      </c>
      <c r="M27" s="1186">
        <f t="shared" si="6"/>
        <v>53126937.74000001</v>
      </c>
      <c r="O27" s="949"/>
    </row>
    <row r="28" spans="1:15" s="909" customFormat="1" ht="19.5" customHeight="1">
      <c r="A28" s="1176" t="s">
        <v>753</v>
      </c>
      <c r="B28" s="934">
        <f>12463.3+8755.35</f>
        <v>21218.65</v>
      </c>
      <c r="C28" s="948">
        <f>1031417.81-H28</f>
        <v>983692.8499999992</v>
      </c>
      <c r="D28" s="940">
        <v>942063.21</v>
      </c>
      <c r="E28" s="940"/>
      <c r="F28" s="940">
        <f>B28+C28-D28-E28</f>
        <v>62848.28999999922</v>
      </c>
      <c r="G28" s="940">
        <v>0</v>
      </c>
      <c r="H28" s="940">
        <f>20475794.96-20428070</f>
        <v>47724.960000000894</v>
      </c>
      <c r="I28" s="940"/>
      <c r="J28" s="940"/>
      <c r="K28" s="940"/>
      <c r="L28" s="941">
        <f t="shared" si="5"/>
        <v>47724.960000000894</v>
      </c>
      <c r="M28" s="1186">
        <f t="shared" si="6"/>
        <v>47724.960000000894</v>
      </c>
      <c r="O28" s="942"/>
    </row>
    <row r="29" spans="1:15" s="909" customFormat="1" ht="19.5" customHeight="1">
      <c r="A29" s="1176" t="s">
        <v>754</v>
      </c>
      <c r="B29" s="934">
        <f>239235.06+26633.57+393705.75+0.1</f>
        <v>659574.48</v>
      </c>
      <c r="C29" s="948">
        <f>995596.67-H29</f>
        <v>643147.8599999977</v>
      </c>
      <c r="D29" s="940">
        <v>609835.53</v>
      </c>
      <c r="E29" s="940"/>
      <c r="F29" s="940">
        <f t="shared" si="4"/>
        <v>692886.8099999975</v>
      </c>
      <c r="G29" s="940">
        <v>0</v>
      </c>
      <c r="H29" s="940">
        <f>24689168.39-24336719.58</f>
        <v>352448.8100000024</v>
      </c>
      <c r="I29" s="940"/>
      <c r="J29" s="940"/>
      <c r="K29" s="940"/>
      <c r="L29" s="941">
        <f t="shared" si="5"/>
        <v>352448.8100000024</v>
      </c>
      <c r="M29" s="1186">
        <f t="shared" si="6"/>
        <v>352448.8100000024</v>
      </c>
      <c r="O29" s="942"/>
    </row>
    <row r="30" spans="1:13" s="909" customFormat="1" ht="19.5" customHeight="1">
      <c r="A30" s="1176" t="s">
        <v>755</v>
      </c>
      <c r="B30" s="934">
        <f>6635.29+300</f>
        <v>6935.29</v>
      </c>
      <c r="C30" s="948">
        <f>105298.04-H30</f>
        <v>62631.32999999997</v>
      </c>
      <c r="D30" s="940">
        <f>60805.1</f>
        <v>60805.1</v>
      </c>
      <c r="E30" s="940">
        <v>1998.6</v>
      </c>
      <c r="F30" s="940">
        <f t="shared" si="4"/>
        <v>6762.919999999967</v>
      </c>
      <c r="G30" s="940">
        <v>0</v>
      </c>
      <c r="H30" s="940">
        <f>288856.52-246189.81</f>
        <v>42666.71000000002</v>
      </c>
      <c r="I30" s="940"/>
      <c r="J30" s="940"/>
      <c r="K30" s="940"/>
      <c r="L30" s="941">
        <f t="shared" si="5"/>
        <v>42666.71000000002</v>
      </c>
      <c r="M30" s="1186">
        <f t="shared" si="6"/>
        <v>42666.71000000002</v>
      </c>
    </row>
    <row r="31" spans="1:15" s="909" customFormat="1" ht="19.5" customHeight="1">
      <c r="A31" s="1176" t="s">
        <v>756</v>
      </c>
      <c r="B31" s="934">
        <f>225379.81+553.45</f>
        <v>225933.26</v>
      </c>
      <c r="C31" s="950">
        <f>1748836.69-H31</f>
        <v>728699.8300000005</v>
      </c>
      <c r="D31" s="940">
        <f>1591901.2+91878.99-729147.1</f>
        <v>954633.09</v>
      </c>
      <c r="E31" s="940"/>
      <c r="F31" s="940">
        <f t="shared" si="4"/>
        <v>5.820766091346741E-10</v>
      </c>
      <c r="G31" s="940">
        <v>0</v>
      </c>
      <c r="H31" s="940">
        <f>24580641.87-23560505.01</f>
        <v>1020136.8599999994</v>
      </c>
      <c r="I31" s="940"/>
      <c r="J31" s="940">
        <v>729147.1</v>
      </c>
      <c r="K31" s="940"/>
      <c r="L31" s="941">
        <f t="shared" si="5"/>
        <v>290989.7599999994</v>
      </c>
      <c r="M31" s="1186">
        <f t="shared" si="6"/>
        <v>290989.7599999994</v>
      </c>
      <c r="O31" s="942"/>
    </row>
    <row r="32" spans="1:15" s="909" customFormat="1" ht="19.5" customHeight="1">
      <c r="A32" s="1176" t="s">
        <v>757</v>
      </c>
      <c r="B32" s="934">
        <f>12946091.06+15094.54+655697.27-G32</f>
        <v>1803823.7699999996</v>
      </c>
      <c r="C32" s="950">
        <f>35149835-H32</f>
        <v>4292378.729999997</v>
      </c>
      <c r="D32" s="940">
        <f>360244.69+5208661.79</f>
        <v>5568906.48</v>
      </c>
      <c r="E32" s="940"/>
      <c r="F32" s="940">
        <f t="shared" si="4"/>
        <v>527296.0199999958</v>
      </c>
      <c r="G32" s="940">
        <f>18094357.61-6281792.59+655697.27-655203.19</f>
        <v>11813059.1</v>
      </c>
      <c r="H32" s="940">
        <f>57013902.06-26156445.79</f>
        <v>30857456.270000003</v>
      </c>
      <c r="I32" s="940"/>
      <c r="J32" s="940"/>
      <c r="K32" s="940"/>
      <c r="L32" s="941">
        <f t="shared" si="5"/>
        <v>42670515.370000005</v>
      </c>
      <c r="M32" s="1186">
        <f t="shared" si="6"/>
        <v>42670515.370000005</v>
      </c>
      <c r="O32" s="942"/>
    </row>
    <row r="33" spans="1:15" s="909" customFormat="1" ht="19.5" customHeight="1">
      <c r="A33" s="1176" t="s">
        <v>758</v>
      </c>
      <c r="B33" s="934">
        <f>322207.04+838534.88+1140.74-G33</f>
        <v>411976.76</v>
      </c>
      <c r="C33" s="948">
        <f>2503706.06-H33</f>
        <v>1019768.3599999999</v>
      </c>
      <c r="D33" s="940">
        <f>1818327.17+78937.11-465519.16</f>
        <v>1431745.12</v>
      </c>
      <c r="E33" s="940"/>
      <c r="F33" s="940">
        <f>B33+C33-D33-E33</f>
        <v>-2.3283064365386963E-10</v>
      </c>
      <c r="G33" s="940">
        <f>1653369.7-1637132.02+870040.29-136372.07</f>
        <v>749905.8999999999</v>
      </c>
      <c r="H33" s="940">
        <f>8099337.04-6615399.34</f>
        <v>1483937.7000000002</v>
      </c>
      <c r="I33" s="940"/>
      <c r="J33" s="940">
        <v>465519.16</v>
      </c>
      <c r="K33" s="940">
        <v>4000</v>
      </c>
      <c r="L33" s="941">
        <f t="shared" si="5"/>
        <v>1764324.4400000002</v>
      </c>
      <c r="M33" s="1186">
        <f t="shared" si="6"/>
        <v>1764324.4400000002</v>
      </c>
      <c r="O33" s="930"/>
    </row>
    <row r="34" spans="1:15" s="909" customFormat="1" ht="19.5" customHeight="1">
      <c r="A34" s="1176" t="s">
        <v>759</v>
      </c>
      <c r="B34" s="934">
        <f>6782237.99+151907.37+146921.03-G34</f>
        <v>5072340.290000002</v>
      </c>
      <c r="C34" s="948">
        <f>2160134.14-H34</f>
        <v>1351988.0799999996</v>
      </c>
      <c r="D34" s="940">
        <f>6556210.51+1817745.37-1949627.51</f>
        <v>6424328.37</v>
      </c>
      <c r="E34" s="940"/>
      <c r="F34" s="940">
        <f t="shared" si="4"/>
        <v>9.313225746154785E-10</v>
      </c>
      <c r="G34" s="940">
        <f>15074737.37-13156468.48+146921.03-56463.82</f>
        <v>2008726.0999999987</v>
      </c>
      <c r="H34" s="940">
        <f>9486085.83-8677939.77</f>
        <v>808146.0600000005</v>
      </c>
      <c r="I34" s="940"/>
      <c r="J34" s="940">
        <v>1949627.51</v>
      </c>
      <c r="K34" s="940"/>
      <c r="L34" s="941">
        <f t="shared" si="5"/>
        <v>867244.6499999992</v>
      </c>
      <c r="M34" s="1186">
        <f t="shared" si="6"/>
        <v>867244.6499999992</v>
      </c>
      <c r="O34" s="942"/>
    </row>
    <row r="35" spans="1:15" s="909" customFormat="1" ht="19.5" customHeight="1">
      <c r="A35" s="1176" t="s">
        <v>427</v>
      </c>
      <c r="B35" s="934">
        <f>4178950.11+71101.51</f>
        <v>4250051.62</v>
      </c>
      <c r="C35" s="948">
        <f>5506000.9-H35</f>
        <v>4800758.540000001</v>
      </c>
      <c r="D35" s="940">
        <v>4828089.04</v>
      </c>
      <c r="E35" s="940"/>
      <c r="F35" s="940">
        <f t="shared" si="4"/>
        <v>4222721.12</v>
      </c>
      <c r="G35" s="940">
        <v>0</v>
      </c>
      <c r="H35" s="940">
        <f>37738021.82-37032779.46</f>
        <v>705242.3599999994</v>
      </c>
      <c r="I35" s="940"/>
      <c r="J35" s="940"/>
      <c r="K35" s="940"/>
      <c r="L35" s="941">
        <f t="shared" si="5"/>
        <v>705242.3599999994</v>
      </c>
      <c r="M35" s="1186">
        <f t="shared" si="6"/>
        <v>705242.3599999994</v>
      </c>
      <c r="O35" s="942"/>
    </row>
    <row r="36" spans="1:15" s="909" customFormat="1" ht="19.5" customHeight="1">
      <c r="A36" s="1176" t="s">
        <v>428</v>
      </c>
      <c r="B36" s="934">
        <f>41139084.12-G36</f>
        <v>41128197.26</v>
      </c>
      <c r="C36" s="948">
        <f>11749629.31-H36</f>
        <v>11748216.19000001</v>
      </c>
      <c r="D36" s="940">
        <v>5237165.96</v>
      </c>
      <c r="E36" s="940"/>
      <c r="F36" s="940">
        <f t="shared" si="4"/>
        <v>47639247.49000001</v>
      </c>
      <c r="G36" s="940">
        <f>46489642.21-46478755.35</f>
        <v>10886.859999999404</v>
      </c>
      <c r="H36" s="940">
        <f>99393536.52-99392123.4</f>
        <v>1413.1199999898672</v>
      </c>
      <c r="I36" s="940"/>
      <c r="J36" s="940"/>
      <c r="K36" s="940"/>
      <c r="L36" s="941">
        <f t="shared" si="5"/>
        <v>12299.979999989271</v>
      </c>
      <c r="M36" s="1186">
        <f t="shared" si="6"/>
        <v>12299.979999989271</v>
      </c>
      <c r="O36" s="942"/>
    </row>
    <row r="37" spans="1:15" s="909" customFormat="1" ht="19.5" customHeight="1">
      <c r="A37" s="1176" t="s">
        <v>760</v>
      </c>
      <c r="B37" s="934">
        <f>115000+511195.01+113333.32</f>
        <v>739528.3300000001</v>
      </c>
      <c r="C37" s="950">
        <f>8919573.63-H37</f>
        <v>8869573.640000002</v>
      </c>
      <c r="D37" s="940">
        <v>8876479.07</v>
      </c>
      <c r="E37" s="940"/>
      <c r="F37" s="940">
        <f t="shared" si="4"/>
        <v>732622.9000000022</v>
      </c>
      <c r="G37" s="940">
        <v>0</v>
      </c>
      <c r="H37" s="940">
        <f>18376430.66-18326430.67</f>
        <v>49999.98999999836</v>
      </c>
      <c r="I37" s="940"/>
      <c r="J37" s="940"/>
      <c r="K37" s="940"/>
      <c r="L37" s="941">
        <f t="shared" si="5"/>
        <v>49999.98999999836</v>
      </c>
      <c r="M37" s="1186">
        <f t="shared" si="6"/>
        <v>49999.98999999836</v>
      </c>
      <c r="O37" s="942"/>
    </row>
    <row r="38" spans="1:15" s="909" customFormat="1" ht="19.5" customHeight="1">
      <c r="A38" s="1176" t="s">
        <v>761</v>
      </c>
      <c r="B38" s="934">
        <f>120+2864.59-G38</f>
        <v>480</v>
      </c>
      <c r="C38" s="950">
        <f>1583273.37-H38</f>
        <v>1502312.2299999995</v>
      </c>
      <c r="D38" s="940">
        <f>1569946.5-67154.27</f>
        <v>1502792.23</v>
      </c>
      <c r="E38" s="940"/>
      <c r="F38" s="940">
        <f t="shared" si="4"/>
        <v>-4.656612873077393E-10</v>
      </c>
      <c r="G38" s="940">
        <f>2864.59-360</f>
        <v>2504.59</v>
      </c>
      <c r="H38" s="940">
        <f>12288836.24-12207875.1</f>
        <v>80961.1400000006</v>
      </c>
      <c r="I38" s="940"/>
      <c r="J38" s="940">
        <v>67154.27</v>
      </c>
      <c r="K38" s="940">
        <v>5496.53</v>
      </c>
      <c r="L38" s="941">
        <f t="shared" si="5"/>
        <v>10814.93000000059</v>
      </c>
      <c r="M38" s="1186">
        <f t="shared" si="6"/>
        <v>10814.93000000059</v>
      </c>
      <c r="O38" s="942"/>
    </row>
    <row r="39" spans="1:15" s="909" customFormat="1" ht="19.5" customHeight="1">
      <c r="A39" s="1176" t="s">
        <v>762</v>
      </c>
      <c r="B39" s="934">
        <f>287579.88+54080.45+3698.04</f>
        <v>345358.37</v>
      </c>
      <c r="C39" s="950">
        <f>1095316.69-H39</f>
        <v>991959.9499999997</v>
      </c>
      <c r="D39" s="940">
        <f>875488.71+115198.23</f>
        <v>990686.94</v>
      </c>
      <c r="E39" s="940">
        <v>1814.96</v>
      </c>
      <c r="F39" s="940">
        <f t="shared" si="4"/>
        <v>344816.41999999987</v>
      </c>
      <c r="G39" s="940">
        <v>0</v>
      </c>
      <c r="H39" s="940">
        <f>14458280.42-14354923.68</f>
        <v>103356.74000000022</v>
      </c>
      <c r="I39" s="940"/>
      <c r="J39" s="940"/>
      <c r="K39" s="940"/>
      <c r="L39" s="941">
        <f t="shared" si="5"/>
        <v>103356.74000000022</v>
      </c>
      <c r="M39" s="1186">
        <f t="shared" si="6"/>
        <v>103356.74000000022</v>
      </c>
      <c r="O39" s="942"/>
    </row>
    <row r="40" spans="1:15" s="909" customFormat="1" ht="19.5" customHeight="1">
      <c r="A40" s="1176" t="s">
        <v>763</v>
      </c>
      <c r="B40" s="934">
        <f>178107.59+3600+6436.7-G40</f>
        <v>158436.69999999998</v>
      </c>
      <c r="C40" s="948">
        <f>40236.83-H40</f>
        <v>26324.690000000104</v>
      </c>
      <c r="D40" s="940">
        <f>152000+33068.58-307.19</f>
        <v>184761.39</v>
      </c>
      <c r="E40" s="940"/>
      <c r="F40" s="940">
        <f t="shared" si="4"/>
        <v>5.820766091346741E-11</v>
      </c>
      <c r="G40" s="940">
        <f>303723.51-277615.92+3600</f>
        <v>29707.590000000026</v>
      </c>
      <c r="H40" s="940">
        <f>1795294.71-1781382.57</f>
        <v>13912.139999999898</v>
      </c>
      <c r="I40" s="940"/>
      <c r="J40" s="940">
        <v>307.19</v>
      </c>
      <c r="K40" s="940"/>
      <c r="L40" s="941">
        <f t="shared" si="5"/>
        <v>43312.53999999992</v>
      </c>
      <c r="M40" s="1186">
        <f t="shared" si="6"/>
        <v>43312.53999999992</v>
      </c>
      <c r="O40" s="949"/>
    </row>
    <row r="41" spans="1:15" s="909" customFormat="1" ht="19.5" customHeight="1">
      <c r="A41" s="1176" t="s">
        <v>764</v>
      </c>
      <c r="B41" s="934">
        <f>7639.81+1580.36</f>
        <v>9220.17</v>
      </c>
      <c r="C41" s="948">
        <f>1555991.03-H41</f>
        <v>722651.9899999991</v>
      </c>
      <c r="D41" s="940">
        <f>1124697.56-392825.4</f>
        <v>731872.16</v>
      </c>
      <c r="E41" s="940"/>
      <c r="F41" s="940">
        <f t="shared" si="4"/>
        <v>-9.313225746154785E-10</v>
      </c>
      <c r="G41" s="940">
        <v>0</v>
      </c>
      <c r="H41" s="940">
        <f>13690885.73-12857546.69</f>
        <v>833339.040000001</v>
      </c>
      <c r="I41" s="940"/>
      <c r="J41" s="940">
        <v>392825.4</v>
      </c>
      <c r="K41" s="940"/>
      <c r="L41" s="941">
        <f t="shared" si="5"/>
        <v>440513.64000000095</v>
      </c>
      <c r="M41" s="1186">
        <f t="shared" si="6"/>
        <v>440513.64000000095</v>
      </c>
      <c r="O41" s="942"/>
    </row>
    <row r="42" spans="1:15" s="909" customFormat="1" ht="19.5" customHeight="1">
      <c r="A42" s="1176" t="s">
        <v>765</v>
      </c>
      <c r="B42" s="934">
        <f>63078.86+215780+10008.93-G42</f>
        <v>253291.83000000002</v>
      </c>
      <c r="C42" s="950">
        <f>1724406.86-H42</f>
        <v>1380305.490000001</v>
      </c>
      <c r="D42" s="940">
        <f>35280+1127808.37</f>
        <v>1163088.37</v>
      </c>
      <c r="E42" s="940"/>
      <c r="F42" s="940">
        <f t="shared" si="4"/>
        <v>470508.9500000009</v>
      </c>
      <c r="G42" s="940">
        <f>1946307.93-1910731.97</f>
        <v>35575.95999999996</v>
      </c>
      <c r="H42" s="940">
        <f>12247762.19-11903660.82</f>
        <v>344101.3699999992</v>
      </c>
      <c r="I42" s="940"/>
      <c r="J42" s="940"/>
      <c r="K42" s="940"/>
      <c r="L42" s="941">
        <f t="shared" si="5"/>
        <v>379677.32999999914</v>
      </c>
      <c r="M42" s="1186">
        <f t="shared" si="6"/>
        <v>379677.32999999914</v>
      </c>
      <c r="O42" s="942"/>
    </row>
    <row r="43" spans="1:15" s="909" customFormat="1" ht="19.5" customHeight="1">
      <c r="A43" s="1176" t="s">
        <v>766</v>
      </c>
      <c r="B43" s="934">
        <f>459766.18+775.55+2820</f>
        <v>463361.73</v>
      </c>
      <c r="C43" s="948">
        <f>8559357.44-H43</f>
        <v>780556.7899999991</v>
      </c>
      <c r="D43" s="940">
        <f>7825009.29+459699.13-7040789.9</f>
        <v>1243918.5199999996</v>
      </c>
      <c r="E43" s="940"/>
      <c r="F43" s="940">
        <f t="shared" si="4"/>
        <v>-4.656612873077393E-10</v>
      </c>
      <c r="G43" s="940">
        <v>0</v>
      </c>
      <c r="H43" s="940">
        <f>12313914.06-4535113.41</f>
        <v>7778800.65</v>
      </c>
      <c r="I43" s="940"/>
      <c r="J43" s="940">
        <v>7040789.9</v>
      </c>
      <c r="K43" s="940"/>
      <c r="L43" s="941">
        <f t="shared" si="5"/>
        <v>738010.75</v>
      </c>
      <c r="M43" s="1186">
        <f t="shared" si="6"/>
        <v>738010.75</v>
      </c>
      <c r="O43" s="942"/>
    </row>
    <row r="44" spans="1:15" s="909" customFormat="1" ht="19.5" customHeight="1">
      <c r="A44" s="1177"/>
      <c r="B44" s="951"/>
      <c r="C44" s="952"/>
      <c r="D44" s="953"/>
      <c r="E44" s="953"/>
      <c r="F44" s="953"/>
      <c r="G44" s="953"/>
      <c r="H44" s="953"/>
      <c r="I44" s="954"/>
      <c r="J44" s="954"/>
      <c r="K44" s="1099"/>
      <c r="L44" s="1098"/>
      <c r="M44" s="1157"/>
      <c r="O44" s="942"/>
    </row>
    <row r="45" spans="1:13" s="932" customFormat="1" ht="15" customHeight="1">
      <c r="A45" s="1178" t="s">
        <v>774</v>
      </c>
      <c r="B45" s="989">
        <f aca="true" t="shared" si="7" ref="B45:M45">B46+B53</f>
        <v>15853373.340000007</v>
      </c>
      <c r="C45" s="955">
        <f t="shared" si="7"/>
        <v>56292075.47000002</v>
      </c>
      <c r="D45" s="956">
        <f t="shared" si="7"/>
        <v>57632318.56999999</v>
      </c>
      <c r="E45" s="956">
        <f t="shared" si="7"/>
        <v>496095.76</v>
      </c>
      <c r="F45" s="956">
        <f t="shared" si="7"/>
        <v>14017034.48000003</v>
      </c>
      <c r="G45" s="956">
        <f t="shared" si="7"/>
        <v>10163563.969999997</v>
      </c>
      <c r="H45" s="956">
        <f t="shared" si="7"/>
        <v>32092220.739999972</v>
      </c>
      <c r="I45" s="956">
        <f t="shared" si="7"/>
        <v>0</v>
      </c>
      <c r="J45" s="956">
        <f t="shared" si="7"/>
        <v>5043210.69</v>
      </c>
      <c r="K45" s="1097">
        <f t="shared" si="7"/>
        <v>2506.04</v>
      </c>
      <c r="L45" s="1096">
        <f t="shared" si="7"/>
        <v>37210067.97999997</v>
      </c>
      <c r="M45" s="1097">
        <f t="shared" si="7"/>
        <v>37210067.97999997</v>
      </c>
    </row>
    <row r="46" spans="1:13" s="932" customFormat="1" ht="19.5" customHeight="1">
      <c r="A46" s="1179" t="s">
        <v>775</v>
      </c>
      <c r="B46" s="989">
        <f aca="true" t="shared" si="8" ref="B46:M46">SUM(B47:B52)</f>
        <v>2907719.35</v>
      </c>
      <c r="C46" s="957">
        <f t="shared" si="8"/>
        <v>8751186.860000012</v>
      </c>
      <c r="D46" s="943">
        <f t="shared" si="8"/>
        <v>7247965.190000001</v>
      </c>
      <c r="E46" s="943">
        <f t="shared" si="8"/>
        <v>0</v>
      </c>
      <c r="F46" s="943">
        <f t="shared" si="8"/>
        <v>4410941.0200000135</v>
      </c>
      <c r="G46" s="943">
        <f t="shared" si="8"/>
        <v>311611.90000000014</v>
      </c>
      <c r="H46" s="943">
        <f t="shared" si="8"/>
        <v>2869275.9599999865</v>
      </c>
      <c r="I46" s="943">
        <f t="shared" si="8"/>
        <v>0</v>
      </c>
      <c r="J46" s="943">
        <f t="shared" si="8"/>
        <v>1081905.53</v>
      </c>
      <c r="K46" s="943">
        <f t="shared" si="8"/>
        <v>2506.04</v>
      </c>
      <c r="L46" s="938">
        <f t="shared" si="8"/>
        <v>2096476.2899999865</v>
      </c>
      <c r="M46" s="943">
        <f t="shared" si="8"/>
        <v>2096476.2899999865</v>
      </c>
    </row>
    <row r="47" spans="1:15" s="909" customFormat="1" ht="19.5" customHeight="1">
      <c r="A47" s="1176" t="s">
        <v>429</v>
      </c>
      <c r="B47" s="934">
        <f>193255.34+135295.1</f>
        <v>328550.44</v>
      </c>
      <c r="C47" s="948">
        <v>825274.72</v>
      </c>
      <c r="D47" s="940">
        <f>463224.72+80100</f>
        <v>543324.72</v>
      </c>
      <c r="E47" s="940"/>
      <c r="F47" s="940">
        <f aca="true" t="shared" si="9" ref="F47:F52">B47+C47-D47-E47</f>
        <v>610500.44</v>
      </c>
      <c r="G47" s="940">
        <v>0</v>
      </c>
      <c r="H47" s="940">
        <f>3496517.55-3496517.55</f>
        <v>0</v>
      </c>
      <c r="I47" s="940"/>
      <c r="J47" s="940"/>
      <c r="K47" s="940"/>
      <c r="L47" s="941">
        <v>0</v>
      </c>
      <c r="M47" s="1186">
        <f aca="true" t="shared" si="10" ref="M47:M52">G47+H47-J47-K47</f>
        <v>0</v>
      </c>
      <c r="O47" s="942"/>
    </row>
    <row r="48" spans="1:15" s="909" customFormat="1" ht="19.5" customHeight="1">
      <c r="A48" s="1176" t="s">
        <v>767</v>
      </c>
      <c r="B48" s="934">
        <f>17607.63+283940.58+801285.68-G48</f>
        <v>791221.99</v>
      </c>
      <c r="C48" s="948">
        <f>3247005.79-H48</f>
        <v>2562341.04</v>
      </c>
      <c r="D48" s="940">
        <v>2790275.72</v>
      </c>
      <c r="E48" s="940"/>
      <c r="F48" s="940">
        <f t="shared" si="9"/>
        <v>563287.31</v>
      </c>
      <c r="G48" s="940">
        <f>676822.29-662546.87+283940.58-269210.76+801285.68-518679.02</f>
        <v>311611.90000000014</v>
      </c>
      <c r="H48" s="940">
        <f>75942216.91-75257552.16</f>
        <v>684664.75</v>
      </c>
      <c r="I48" s="940"/>
      <c r="J48" s="940"/>
      <c r="K48" s="940"/>
      <c r="L48" s="941">
        <f>G48+H48-J48-K48</f>
        <v>996276.6500000001</v>
      </c>
      <c r="M48" s="1186">
        <f t="shared" si="10"/>
        <v>996276.6500000001</v>
      </c>
      <c r="O48" s="942"/>
    </row>
    <row r="49" spans="1:15" s="909" customFormat="1" ht="19.5" customHeight="1">
      <c r="A49" s="1176" t="s">
        <v>430</v>
      </c>
      <c r="B49" s="934">
        <f>933.12</f>
        <v>933.12</v>
      </c>
      <c r="C49" s="948">
        <f>360843.24-H49</f>
        <v>243241.5400000119</v>
      </c>
      <c r="D49" s="939">
        <f>300032.69-55858.03</f>
        <v>244174.66</v>
      </c>
      <c r="E49" s="940"/>
      <c r="F49" s="939">
        <f t="shared" si="9"/>
        <v>1.1903466656804085E-08</v>
      </c>
      <c r="G49" s="940">
        <v>0</v>
      </c>
      <c r="H49" s="940">
        <f>129871849.46-129754247.76</f>
        <v>117601.69999998808</v>
      </c>
      <c r="I49" s="940"/>
      <c r="J49" s="940">
        <v>55858.03</v>
      </c>
      <c r="K49" s="940"/>
      <c r="L49" s="941">
        <f>G49+H49-J49-K49</f>
        <v>61743.66999998808</v>
      </c>
      <c r="M49" s="1186">
        <f t="shared" si="10"/>
        <v>61743.66999998808</v>
      </c>
      <c r="O49" s="949"/>
    </row>
    <row r="50" spans="1:15" s="909" customFormat="1" ht="19.5" customHeight="1">
      <c r="A50" s="1176" t="s">
        <v>768</v>
      </c>
      <c r="B50" s="934">
        <f>298.98</f>
        <v>298.98</v>
      </c>
      <c r="C50" s="948">
        <f>80788.9-H50</f>
        <v>68640.92999999979</v>
      </c>
      <c r="D50" s="940">
        <f>79161.38-10221.47</f>
        <v>68939.91</v>
      </c>
      <c r="E50" s="940"/>
      <c r="F50" s="940">
        <f t="shared" si="9"/>
        <v>-2.1827872842550278E-10</v>
      </c>
      <c r="G50" s="940">
        <v>0</v>
      </c>
      <c r="H50" s="940">
        <f>1674985.61-1662837.64</f>
        <v>12147.970000000205</v>
      </c>
      <c r="I50" s="940"/>
      <c r="J50" s="940">
        <v>10221.47</v>
      </c>
      <c r="K50" s="940">
        <v>137.7</v>
      </c>
      <c r="L50" s="941">
        <f>G50+H50-J50-K50</f>
        <v>1788.8000000002055</v>
      </c>
      <c r="M50" s="1186">
        <f t="shared" si="10"/>
        <v>1788.8000000002055</v>
      </c>
      <c r="O50" s="949"/>
    </row>
    <row r="51" spans="1:15" s="909" customFormat="1" ht="19.5" customHeight="1">
      <c r="A51" s="1176" t="s">
        <v>769</v>
      </c>
      <c r="B51" s="934">
        <f>493101.87+33330+1123515.38</f>
        <v>1649947.25</v>
      </c>
      <c r="C51" s="948">
        <f>5241973.79-H51</f>
        <v>4855372.210000002</v>
      </c>
      <c r="D51" s="939">
        <f>3178195.69+89970.5</f>
        <v>3268166.19</v>
      </c>
      <c r="E51" s="939"/>
      <c r="F51" s="939">
        <f t="shared" si="9"/>
        <v>3237153.270000002</v>
      </c>
      <c r="G51" s="940">
        <v>0</v>
      </c>
      <c r="H51" s="940">
        <f>24355017.77-23968416.19</f>
        <v>386601.5799999982</v>
      </c>
      <c r="I51" s="940"/>
      <c r="J51" s="940"/>
      <c r="K51" s="940"/>
      <c r="L51" s="941">
        <f>G51+H51-J51-K51</f>
        <v>386601.5799999982</v>
      </c>
      <c r="M51" s="1186">
        <f t="shared" si="10"/>
        <v>386601.5799999982</v>
      </c>
      <c r="O51" s="942"/>
    </row>
    <row r="52" spans="1:15" s="909" customFormat="1" ht="19.5" customHeight="1">
      <c r="A52" s="1176" t="s">
        <v>627</v>
      </c>
      <c r="B52" s="934">
        <f>136767.57</f>
        <v>136767.57</v>
      </c>
      <c r="C52" s="948">
        <f>1864576.38-H52</f>
        <v>196316.41999999993</v>
      </c>
      <c r="D52" s="939">
        <f>1213785.14+135124.88-1015826.03</f>
        <v>333083.99</v>
      </c>
      <c r="E52" s="939"/>
      <c r="F52" s="940">
        <f t="shared" si="9"/>
        <v>-5.820766091346741E-11</v>
      </c>
      <c r="G52" s="940">
        <v>0</v>
      </c>
      <c r="H52" s="940">
        <f>3953811.69-2285551.73</f>
        <v>1668259.96</v>
      </c>
      <c r="I52" s="940"/>
      <c r="J52" s="940">
        <v>1015826.03</v>
      </c>
      <c r="K52" s="939">
        <f>1642.69+725.65</f>
        <v>2368.34</v>
      </c>
      <c r="L52" s="941">
        <f>G52+H52-J52-K52</f>
        <v>650065.59</v>
      </c>
      <c r="M52" s="1186">
        <f t="shared" si="10"/>
        <v>650065.59</v>
      </c>
      <c r="O52" s="930"/>
    </row>
    <row r="53" spans="1:15" s="932" customFormat="1" ht="19.5" customHeight="1">
      <c r="A53" s="1180" t="s">
        <v>776</v>
      </c>
      <c r="B53" s="990">
        <f aca="true" t="shared" si="11" ref="B53:J53">SUM(B54:B58)</f>
        <v>12945653.990000008</v>
      </c>
      <c r="C53" s="958">
        <f t="shared" si="11"/>
        <v>47540888.61000001</v>
      </c>
      <c r="D53" s="935">
        <f t="shared" si="11"/>
        <v>50384353.379999995</v>
      </c>
      <c r="E53" s="935">
        <f t="shared" si="11"/>
        <v>496095.76</v>
      </c>
      <c r="F53" s="935">
        <f t="shared" si="11"/>
        <v>9606093.460000016</v>
      </c>
      <c r="G53" s="935">
        <f t="shared" si="11"/>
        <v>9851952.069999997</v>
      </c>
      <c r="H53" s="935">
        <f t="shared" si="11"/>
        <v>29222944.779999986</v>
      </c>
      <c r="I53" s="935">
        <f t="shared" si="11"/>
        <v>0</v>
      </c>
      <c r="J53" s="935">
        <f t="shared" si="11"/>
        <v>3961305.16</v>
      </c>
      <c r="K53" s="935">
        <f>SUM(K54:K58)</f>
        <v>0</v>
      </c>
      <c r="L53" s="1156">
        <f>SUM(L54:L58)</f>
        <v>35113591.68999998</v>
      </c>
      <c r="M53" s="935">
        <f>SUM(M54:M58)</f>
        <v>35113591.68999998</v>
      </c>
      <c r="O53" s="949"/>
    </row>
    <row r="54" spans="1:15" s="922" customFormat="1" ht="19.5" customHeight="1">
      <c r="A54" s="1176" t="s">
        <v>770</v>
      </c>
      <c r="B54" s="959">
        <f>14767115.07+346286.63+3646039.13+890984.5-G54</f>
        <v>10890086.410000006</v>
      </c>
      <c r="C54" s="948">
        <f>50233857.73+2050271.55-H54</f>
        <v>32579676.289999995</v>
      </c>
      <c r="D54" s="940">
        <f>31220428.18+1179927.47+3004551.78+10056+141602</f>
        <v>35556565.43</v>
      </c>
      <c r="E54" s="940">
        <f>32189.69+9340+69153.96</f>
        <v>110683.65000000001</v>
      </c>
      <c r="F54" s="940">
        <f>B54+C54-D54-E54</f>
        <v>7802513.620000003</v>
      </c>
      <c r="G54" s="940">
        <f>51721028.75-45492037.81+1507980.59-1171750.92+4823638.48-2838330.14+900829.02-691019.05</f>
        <v>8760338.919999996</v>
      </c>
      <c r="H54" s="940">
        <f>462296344.7+2706695.39-443998274.15-1300312.95</f>
        <v>19704452.99</v>
      </c>
      <c r="I54" s="940"/>
      <c r="J54" s="940"/>
      <c r="K54" s="940"/>
      <c r="L54" s="941">
        <f>G54+H54-J54-K54</f>
        <v>28464791.909999996</v>
      </c>
      <c r="M54" s="1186">
        <f>G54+H54-J54-K54</f>
        <v>28464791.909999996</v>
      </c>
      <c r="O54" s="960"/>
    </row>
    <row r="55" spans="1:15" s="909" customFormat="1" ht="19.5" customHeight="1">
      <c r="A55" s="1176" t="s">
        <v>771</v>
      </c>
      <c r="B55" s="934">
        <f>74929.5+16152.04+22748.59-G55</f>
        <v>92979.29000000024</v>
      </c>
      <c r="C55" s="948">
        <f>13964820.39-H55</f>
        <v>8052418.650000002</v>
      </c>
      <c r="D55" s="940">
        <f>11999163.08-3853765.14</f>
        <v>8145397.9399999995</v>
      </c>
      <c r="E55" s="961"/>
      <c r="F55" s="940">
        <f>B55+C55-D55-E55</f>
        <v>2.7939677238464355E-09</v>
      </c>
      <c r="G55" s="940">
        <f>3748447.34-3741485.35+16152.04-2263.19</f>
        <v>20850.83999999976</v>
      </c>
      <c r="H55" s="940">
        <f>30388752.93-24476351.19</f>
        <v>5912401.739999998</v>
      </c>
      <c r="I55" s="940"/>
      <c r="J55" s="940">
        <v>3853765.14</v>
      </c>
      <c r="K55" s="961"/>
      <c r="L55" s="941">
        <f>G55+H55-J55-K55</f>
        <v>2079487.439999998</v>
      </c>
      <c r="M55" s="1186">
        <f>G55+H55-J55-K55</f>
        <v>2079487.439999998</v>
      </c>
      <c r="O55" s="942"/>
    </row>
    <row r="56" spans="1:15" s="909" customFormat="1" ht="19.5" customHeight="1">
      <c r="A56" s="1176" t="s">
        <v>431</v>
      </c>
      <c r="B56" s="934">
        <f>1608536.07+340872.62+445731.42-G56</f>
        <v>1797093.1099999999</v>
      </c>
      <c r="C56" s="950">
        <f>5941241.52-H56</f>
        <v>3951453.3599999994</v>
      </c>
      <c r="D56" s="940">
        <f>380457.03+3749245.88</f>
        <v>4129702.91</v>
      </c>
      <c r="E56" s="940">
        <v>364973.7</v>
      </c>
      <c r="F56" s="940">
        <f>B56+C56-D56-E56</f>
        <v>1253869.8599999987</v>
      </c>
      <c r="G56" s="940">
        <f>8747970.42-8150223.42+445731.42-445431.42</f>
        <v>598047</v>
      </c>
      <c r="H56" s="940">
        <f>17707621.62-15717833.46</f>
        <v>1989788.1600000001</v>
      </c>
      <c r="I56" s="940"/>
      <c r="J56" s="940"/>
      <c r="K56" s="940"/>
      <c r="L56" s="941">
        <f>G56+H56-J56-K56</f>
        <v>2587835.16</v>
      </c>
      <c r="M56" s="1186">
        <f>G56+H56-J56-K56</f>
        <v>2587835.16</v>
      </c>
      <c r="O56" s="942"/>
    </row>
    <row r="57" spans="1:15" s="909" customFormat="1" ht="19.5" customHeight="1">
      <c r="A57" s="1176" t="s">
        <v>781</v>
      </c>
      <c r="B57" s="934">
        <f>25907.26+2274+9913.3-G57</f>
        <v>18895.29999999999</v>
      </c>
      <c r="C57" s="950">
        <f>939587.48-H57</f>
        <v>922749.0699999998</v>
      </c>
      <c r="D57" s="940">
        <f>371495.98</f>
        <v>371495.98</v>
      </c>
      <c r="E57" s="940">
        <f>18438.41+2000</f>
        <v>20438.41</v>
      </c>
      <c r="F57" s="940">
        <f>B57+C57-D57-E57</f>
        <v>549709.9799999999</v>
      </c>
      <c r="G57" s="940">
        <f>211377.76-192178.5</f>
        <v>19199.26000000001</v>
      </c>
      <c r="H57" s="940">
        <f>2233858.87-2217020.46</f>
        <v>16838.41000000015</v>
      </c>
      <c r="I57" s="940"/>
      <c r="J57" s="940"/>
      <c r="K57" s="940"/>
      <c r="L57" s="941">
        <f>G57+H57-J57-K57</f>
        <v>36037.67000000016</v>
      </c>
      <c r="M57" s="1186">
        <f>G57+H57-J57-K57</f>
        <v>36037.67000000016</v>
      </c>
      <c r="O57" s="949"/>
    </row>
    <row r="58" spans="1:16" s="909" customFormat="1" ht="19.5" customHeight="1">
      <c r="A58" s="1176" t="s">
        <v>432</v>
      </c>
      <c r="B58" s="934">
        <f>40871.18+553527.25+5717.5-G58</f>
        <v>146599.88</v>
      </c>
      <c r="C58" s="948">
        <f>3634054.72-H58</f>
        <v>2034591.240000011</v>
      </c>
      <c r="D58" s="939">
        <f>2288731.24-107540.12</f>
        <v>2181191.12</v>
      </c>
      <c r="E58" s="939"/>
      <c r="F58" s="939">
        <f>B58+C58-D58-E58</f>
        <v>1.0710209608078003E-08</v>
      </c>
      <c r="G58" s="940">
        <f>48527.18-7656+892508.76-479863.89</f>
        <v>453516.05000000005</v>
      </c>
      <c r="H58" s="940">
        <f>209322810.45-207723346.97</f>
        <v>1599463.4799999893</v>
      </c>
      <c r="I58" s="940"/>
      <c r="J58" s="940">
        <v>107540.02</v>
      </c>
      <c r="K58" s="940"/>
      <c r="L58" s="941">
        <f>G58+H58-J58-K58</f>
        <v>1945439.5099999893</v>
      </c>
      <c r="M58" s="1186">
        <f>G58+H58-J58-K58</f>
        <v>1945439.5099999893</v>
      </c>
      <c r="O58" s="942"/>
      <c r="P58" s="930"/>
    </row>
    <row r="59" spans="1:15" s="909" customFormat="1" ht="10.5" customHeight="1">
      <c r="A59" s="1181"/>
      <c r="B59" s="963"/>
      <c r="C59" s="921"/>
      <c r="D59" s="963"/>
      <c r="E59" s="963"/>
      <c r="F59" s="964"/>
      <c r="G59" s="964"/>
      <c r="H59" s="963"/>
      <c r="I59" s="963"/>
      <c r="J59" s="963"/>
      <c r="K59" s="963"/>
      <c r="L59" s="962"/>
      <c r="M59" s="1157"/>
      <c r="O59" s="992"/>
    </row>
    <row r="60" spans="1:15" s="909" customFormat="1" ht="16.5" customHeight="1">
      <c r="A60" s="1182" t="s">
        <v>433</v>
      </c>
      <c r="B60" s="935">
        <f aca="true" t="shared" si="12" ref="B60:H60">B11</f>
        <v>89239409.75000001</v>
      </c>
      <c r="C60" s="935">
        <f t="shared" si="12"/>
        <v>195903911.97000003</v>
      </c>
      <c r="D60" s="937">
        <f t="shared" si="12"/>
        <v>208660617.19</v>
      </c>
      <c r="E60" s="937">
        <f t="shared" si="12"/>
        <v>1288192.7999999998</v>
      </c>
      <c r="F60" s="935">
        <f>B60+C60-D60-E60</f>
        <v>75194511.73000003</v>
      </c>
      <c r="G60" s="937">
        <f t="shared" si="12"/>
        <v>56404806.06000002</v>
      </c>
      <c r="H60" s="937">
        <f t="shared" si="12"/>
        <v>178132577.25999996</v>
      </c>
      <c r="I60" s="937">
        <f>I12+I14</f>
        <v>0</v>
      </c>
      <c r="J60" s="937">
        <f>J12+J14</f>
        <v>39598537.25</v>
      </c>
      <c r="K60" s="1101">
        <f>K12+K14</f>
        <v>48561.51</v>
      </c>
      <c r="L60" s="1100">
        <f>G60+H60-J60-K60</f>
        <v>194890284.56</v>
      </c>
      <c r="M60" s="1243">
        <f>G60+H60-J60-K60</f>
        <v>194890284.56</v>
      </c>
      <c r="O60" s="991"/>
    </row>
    <row r="61" spans="1:15" s="909" customFormat="1" ht="13.5" customHeight="1">
      <c r="A61" s="965"/>
      <c r="B61" s="966"/>
      <c r="C61" s="967"/>
      <c r="D61" s="963"/>
      <c r="E61" s="966"/>
      <c r="F61" s="966"/>
      <c r="G61" s="966"/>
      <c r="H61" s="966"/>
      <c r="I61" s="966"/>
      <c r="J61" s="966"/>
      <c r="K61" s="966"/>
      <c r="L61" s="966"/>
      <c r="O61" s="942"/>
    </row>
    <row r="62" spans="1:15" s="909" customFormat="1" ht="16.5" customHeight="1">
      <c r="A62" s="968" t="str">
        <f>'[18]Anexo VII _ RES PRIM'!A68</f>
        <v>FONTE: SECRETARIA MUNICIPAL DA FAZENDA</v>
      </c>
      <c r="B62" s="969"/>
      <c r="C62" s="967"/>
      <c r="D62" s="966"/>
      <c r="E62" s="967"/>
      <c r="F62" s="1244"/>
      <c r="G62" s="960"/>
      <c r="H62" s="966"/>
      <c r="I62" s="966"/>
      <c r="J62" s="966"/>
      <c r="K62" s="966"/>
      <c r="L62" s="966"/>
      <c r="O62" s="942"/>
    </row>
    <row r="63" spans="1:15" s="909" customFormat="1" ht="12">
      <c r="A63" s="968" t="str">
        <f>'Anexo VII _ RES PRIM'!A69</f>
        <v>  São Luís, 26 de Novembro de 2012</v>
      </c>
      <c r="B63" s="969"/>
      <c r="C63" s="969"/>
      <c r="D63" s="970"/>
      <c r="E63" s="970"/>
      <c r="F63" s="971"/>
      <c r="G63" s="971"/>
      <c r="H63" s="976"/>
      <c r="I63" s="972"/>
      <c r="J63" s="1023"/>
      <c r="K63" s="973"/>
      <c r="L63" s="974"/>
      <c r="O63" s="942"/>
    </row>
    <row r="64" spans="1:15" s="922" customFormat="1" ht="17.25" customHeight="1">
      <c r="A64" s="975"/>
      <c r="B64" s="963"/>
      <c r="C64" s="921"/>
      <c r="D64" s="960"/>
      <c r="E64" s="960"/>
      <c r="F64" s="960"/>
      <c r="H64" s="976"/>
      <c r="I64" s="960"/>
      <c r="J64" s="960"/>
      <c r="K64" s="960"/>
      <c r="L64" s="1076"/>
      <c r="O64" s="977"/>
    </row>
    <row r="65" spans="1:15" s="922" customFormat="1" ht="12" customHeight="1">
      <c r="A65" s="962"/>
      <c r="B65" s="921"/>
      <c r="C65" s="921"/>
      <c r="D65" s="921"/>
      <c r="E65" s="921"/>
      <c r="F65" s="921"/>
      <c r="G65" s="921"/>
      <c r="H65" s="921"/>
      <c r="I65" s="921"/>
      <c r="J65" s="921"/>
      <c r="K65" s="921"/>
      <c r="L65" s="921"/>
      <c r="O65" s="960"/>
    </row>
    <row r="66" spans="1:15" s="922" customFormat="1" ht="15" customHeight="1">
      <c r="A66" s="962"/>
      <c r="B66" s="921"/>
      <c r="C66" s="921"/>
      <c r="D66" s="921"/>
      <c r="E66" s="921"/>
      <c r="F66" s="921"/>
      <c r="G66" s="921"/>
      <c r="H66" s="921"/>
      <c r="I66" s="921"/>
      <c r="J66" s="921"/>
      <c r="K66" s="921"/>
      <c r="L66" s="921"/>
      <c r="O66" s="960"/>
    </row>
    <row r="67" spans="1:12" s="909" customFormat="1" ht="16.5" customHeight="1">
      <c r="A67" s="962"/>
      <c r="B67" s="978"/>
      <c r="C67" s="921"/>
      <c r="D67" s="963"/>
      <c r="E67" s="963"/>
      <c r="F67" s="977"/>
      <c r="G67" s="977"/>
      <c r="H67" s="977"/>
      <c r="I67" s="977"/>
      <c r="J67" s="963"/>
      <c r="K67" s="977"/>
      <c r="L67" s="962"/>
    </row>
    <row r="68" spans="1:12" s="909" customFormat="1" ht="20.25" customHeight="1">
      <c r="A68" s="962"/>
      <c r="B68" s="963"/>
      <c r="C68" s="921"/>
      <c r="D68" s="963"/>
      <c r="E68" s="963"/>
      <c r="F68" s="963"/>
      <c r="G68" s="960"/>
      <c r="H68" s="960"/>
      <c r="I68" s="963"/>
      <c r="J68" s="960"/>
      <c r="K68" s="977"/>
      <c r="L68" s="962"/>
    </row>
    <row r="69" spans="1:12" s="909" customFormat="1" ht="30" customHeight="1">
      <c r="A69" s="962"/>
      <c r="B69" s="963"/>
      <c r="C69" s="921"/>
      <c r="D69" s="963"/>
      <c r="E69" s="963"/>
      <c r="F69" s="963"/>
      <c r="G69" s="963"/>
      <c r="H69" s="963"/>
      <c r="I69" s="963"/>
      <c r="J69" s="963"/>
      <c r="K69" s="963"/>
      <c r="L69" s="962"/>
    </row>
    <row r="70" spans="1:12" s="909" customFormat="1" ht="18" customHeight="1">
      <c r="A70" s="962"/>
      <c r="B70" s="963"/>
      <c r="C70" s="921"/>
      <c r="D70" s="963"/>
      <c r="E70" s="963"/>
      <c r="F70" s="963"/>
      <c r="G70" s="963"/>
      <c r="H70" s="963"/>
      <c r="I70" s="963"/>
      <c r="J70" s="963"/>
      <c r="K70" s="963"/>
      <c r="L70" s="962"/>
    </row>
    <row r="71" spans="1:12" s="909" customFormat="1" ht="25.5" customHeight="1">
      <c r="A71" s="962"/>
      <c r="B71" s="963"/>
      <c r="C71" s="921"/>
      <c r="D71" s="963"/>
      <c r="E71" s="963"/>
      <c r="F71" s="963"/>
      <c r="G71" s="963"/>
      <c r="H71" s="963"/>
      <c r="I71" s="963"/>
      <c r="J71" s="963"/>
      <c r="K71" s="963"/>
      <c r="L71" s="962"/>
    </row>
    <row r="72" spans="1:12" s="909" customFormat="1" ht="21" customHeight="1">
      <c r="A72" s="962"/>
      <c r="B72" s="963"/>
      <c r="C72" s="921"/>
      <c r="D72" s="963"/>
      <c r="E72" s="963"/>
      <c r="F72" s="963"/>
      <c r="G72" s="963"/>
      <c r="H72" s="963"/>
      <c r="I72" s="963"/>
      <c r="J72" s="963"/>
      <c r="K72" s="963"/>
      <c r="L72" s="962"/>
    </row>
    <row r="73" spans="1:12" s="909" customFormat="1" ht="45" customHeight="1">
      <c r="A73" s="962"/>
      <c r="B73" s="963"/>
      <c r="C73" s="921"/>
      <c r="D73" s="963"/>
      <c r="E73" s="963"/>
      <c r="F73" s="963"/>
      <c r="G73" s="963"/>
      <c r="H73" s="963"/>
      <c r="I73" s="963"/>
      <c r="J73" s="963"/>
      <c r="K73" s="963"/>
      <c r="L73" s="962"/>
    </row>
    <row r="74" spans="1:12" s="909" customFormat="1" ht="117.75" customHeight="1">
      <c r="A74" s="979"/>
      <c r="B74" s="980"/>
      <c r="C74" s="981"/>
      <c r="D74" s="980"/>
      <c r="E74" s="980"/>
      <c r="F74" s="980"/>
      <c r="G74" s="980"/>
      <c r="H74" s="980"/>
      <c r="I74" s="980"/>
      <c r="J74" s="980"/>
      <c r="K74" s="980"/>
      <c r="L74" s="979"/>
    </row>
    <row r="75" spans="1:12" ht="42.75" customHeight="1">
      <c r="A75" s="982"/>
      <c r="B75" s="983"/>
      <c r="C75" s="984"/>
      <c r="D75" s="983"/>
      <c r="E75" s="983"/>
      <c r="F75" s="983"/>
      <c r="G75" s="983"/>
      <c r="H75" s="983"/>
      <c r="I75" s="983"/>
      <c r="J75" s="983"/>
      <c r="K75" s="983"/>
      <c r="L75" s="982"/>
    </row>
    <row r="76" spans="1:12" ht="10.5" customHeight="1">
      <c r="A76" s="982"/>
      <c r="B76" s="983"/>
      <c r="C76" s="984"/>
      <c r="D76" s="983"/>
      <c r="E76" s="983"/>
      <c r="F76" s="983"/>
      <c r="G76" s="983"/>
      <c r="H76" s="983"/>
      <c r="I76" s="983"/>
      <c r="J76" s="983"/>
      <c r="K76" s="983"/>
      <c r="L76" s="982"/>
    </row>
    <row r="77" spans="1:12" ht="10.5" customHeight="1">
      <c r="A77" s="982"/>
      <c r="B77" s="983"/>
      <c r="C77" s="984"/>
      <c r="D77" s="983"/>
      <c r="E77" s="983"/>
      <c r="F77" s="983"/>
      <c r="G77" s="983"/>
      <c r="H77" s="983"/>
      <c r="I77" s="983"/>
      <c r="J77" s="983"/>
      <c r="K77" s="983"/>
      <c r="L77" s="982"/>
    </row>
    <row r="78" spans="1:12" ht="10.5" customHeight="1">
      <c r="A78" s="982"/>
      <c r="B78" s="983"/>
      <c r="C78" s="984"/>
      <c r="D78" s="983"/>
      <c r="E78" s="983"/>
      <c r="F78" s="983"/>
      <c r="G78" s="983"/>
      <c r="H78" s="983"/>
      <c r="I78" s="983"/>
      <c r="J78" s="983"/>
      <c r="K78" s="983"/>
      <c r="L78" s="982"/>
    </row>
    <row r="79" spans="1:12" ht="10.5" customHeight="1">
      <c r="A79" s="982"/>
      <c r="B79" s="983"/>
      <c r="C79" s="984"/>
      <c r="D79" s="983"/>
      <c r="E79" s="983"/>
      <c r="F79" s="983"/>
      <c r="G79" s="983"/>
      <c r="H79" s="983"/>
      <c r="I79" s="983"/>
      <c r="J79" s="983"/>
      <c r="K79" s="983"/>
      <c r="L79" s="982"/>
    </row>
  </sheetData>
  <sheetProtection/>
  <mergeCells count="17">
    <mergeCell ref="M9:M10"/>
    <mergeCell ref="G8:M8"/>
    <mergeCell ref="F9:F10"/>
    <mergeCell ref="G9:H9"/>
    <mergeCell ref="J9:J10"/>
    <mergeCell ref="K9:K10"/>
    <mergeCell ref="L9:L10"/>
    <mergeCell ref="I9:I10"/>
    <mergeCell ref="A1:E1"/>
    <mergeCell ref="F1:L1"/>
    <mergeCell ref="A2:L2"/>
    <mergeCell ref="A5:F5"/>
    <mergeCell ref="A8:A10"/>
    <mergeCell ref="B8:F8"/>
    <mergeCell ref="B9:C9"/>
    <mergeCell ref="D9:D10"/>
    <mergeCell ref="E9:E10"/>
  </mergeCells>
  <printOptions horizontalCentered="1"/>
  <pageMargins left="0.23" right="0.2798611111111111" top="0.5902777777777778" bottom="0.39305555555555555" header="0.5118055555555556" footer="0.19652777777777777"/>
  <pageSetup fitToHeight="1" fitToWidth="1" horizontalDpi="300" verticalDpi="300" orientation="portrait" paperSize="9" scale="55" r:id="rId2"/>
  <headerFooter alignWithMargins="0">
    <oddFooter>&amp;C&amp;A</oddFooter>
  </headerFooter>
  <ignoredErrors>
    <ignoredError sqref="F53 L15 F60 L53 K53 M53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F203"/>
  <sheetViews>
    <sheetView showGridLines="0" zoomScaleSheetLayoutView="100" zoomScalePageLayoutView="0" workbookViewId="0" topLeftCell="B151">
      <selection activeCell="E162" sqref="E162:F162"/>
    </sheetView>
  </sheetViews>
  <sheetFormatPr defaultColWidth="9.140625" defaultRowHeight="12.75"/>
  <cols>
    <col min="1" max="1" width="72.28125" style="181" customWidth="1"/>
    <col min="2" max="2" width="16.8515625" style="340" customWidth="1"/>
    <col min="3" max="3" width="17.28125" style="340" customWidth="1"/>
    <col min="4" max="4" width="12.57421875" style="340" customWidth="1"/>
    <col min="5" max="5" width="15.28125" style="340" customWidth="1"/>
    <col min="6" max="6" width="16.7109375" style="340" customWidth="1"/>
    <col min="7" max="7" width="16.00390625" style="340" customWidth="1"/>
    <col min="8" max="8" width="11.7109375" style="340" hidden="1" customWidth="1"/>
    <col min="9" max="9" width="8.8515625" style="722" hidden="1" customWidth="1"/>
    <col min="10" max="10" width="14.140625" style="340" hidden="1" customWidth="1"/>
    <col min="11" max="11" width="11.8515625" style="340" hidden="1" customWidth="1"/>
    <col min="12" max="12" width="15.28125" style="340" hidden="1" customWidth="1"/>
    <col min="13" max="13" width="16.8515625" style="340" hidden="1" customWidth="1"/>
    <col min="14" max="14" width="13.00390625" style="340" hidden="1" customWidth="1"/>
    <col min="15" max="15" width="15.00390625" style="340" hidden="1" customWidth="1"/>
    <col min="16" max="16" width="15.7109375" style="340" hidden="1" customWidth="1"/>
    <col min="17" max="17" width="14.421875" style="340" hidden="1" customWidth="1"/>
    <col min="18" max="19" width="14.00390625" style="340" hidden="1" customWidth="1"/>
    <col min="20" max="20" width="3.57421875" style="340" hidden="1" customWidth="1"/>
    <col min="21" max="22" width="15.57421875" style="340" hidden="1" customWidth="1"/>
    <col min="23" max="23" width="15.7109375" style="340" hidden="1" customWidth="1"/>
    <col min="24" max="24" width="15.00390625" style="340" hidden="1" customWidth="1"/>
    <col min="25" max="25" width="14.00390625" style="340" hidden="1" customWidth="1"/>
    <col min="26" max="26" width="15.00390625" style="340" hidden="1" customWidth="1"/>
    <col min="27" max="27" width="19.421875" style="340" customWidth="1"/>
    <col min="28" max="28" width="21.8515625" style="340" customWidth="1"/>
    <col min="29" max="29" width="15.00390625" style="340" bestFit="1" customWidth="1"/>
    <col min="30" max="30" width="13.140625" style="340" bestFit="1" customWidth="1"/>
    <col min="31" max="31" width="14.00390625" style="340" bestFit="1" customWidth="1"/>
    <col min="32" max="32" width="15.00390625" style="721" customWidth="1"/>
    <col min="33" max="16384" width="9.140625" style="340" customWidth="1"/>
  </cols>
  <sheetData>
    <row r="1" spans="1:32" s="135" customFormat="1" ht="12.75">
      <c r="A1" s="1374" t="s">
        <v>210</v>
      </c>
      <c r="B1" s="1374"/>
      <c r="C1" s="1374"/>
      <c r="D1" s="1374"/>
      <c r="E1" s="1374"/>
      <c r="F1" s="1374"/>
      <c r="G1" s="1374"/>
      <c r="H1" s="549"/>
      <c r="I1" s="724"/>
      <c r="K1" s="135">
        <v>1</v>
      </c>
      <c r="AF1" s="757"/>
    </row>
    <row r="2" spans="1:32" s="135" customFormat="1" ht="12.75">
      <c r="A2" s="1374" t="s">
        <v>0</v>
      </c>
      <c r="B2" s="1374"/>
      <c r="C2" s="1374"/>
      <c r="D2" s="1374"/>
      <c r="E2" s="1374"/>
      <c r="F2" s="1374"/>
      <c r="G2" s="1374"/>
      <c r="H2" s="549"/>
      <c r="I2" s="724"/>
      <c r="AF2" s="757"/>
    </row>
    <row r="3" spans="1:32" s="135" customFormat="1" ht="12.75">
      <c r="A3" s="611" t="s">
        <v>434</v>
      </c>
      <c r="B3" s="615"/>
      <c r="C3" s="615"/>
      <c r="D3" s="195"/>
      <c r="E3" s="863" t="str">
        <f>E92</f>
        <v>Publicação: Diário Oficial do Município nº 227</v>
      </c>
      <c r="F3" s="195"/>
      <c r="G3" s="615"/>
      <c r="H3" s="579"/>
      <c r="I3" s="724"/>
      <c r="AF3" s="757"/>
    </row>
    <row r="4" spans="1:32" s="135" customFormat="1" ht="12.75">
      <c r="A4" s="612" t="s">
        <v>2</v>
      </c>
      <c r="B4" s="616"/>
      <c r="C4" s="616"/>
      <c r="D4" s="863"/>
      <c r="E4" s="863" t="str">
        <f>'Anexo IX _ RP'!J4</f>
        <v>Data: 26/11/2012</v>
      </c>
      <c r="F4" s="863"/>
      <c r="G4" s="616"/>
      <c r="H4" s="549"/>
      <c r="I4" s="724"/>
      <c r="AF4" s="757"/>
    </row>
    <row r="5" spans="1:32" s="582" customFormat="1" ht="14.25" customHeight="1">
      <c r="A5" s="1589" t="str">
        <f>'Anexo I_BAL ORC'!A4</f>
        <v>Referência: JANEIRO-OUTUBRO/2012; BIMESTRE: SETEMBRO/OUTUBRO/2012</v>
      </c>
      <c r="B5" s="1589"/>
      <c r="C5" s="616"/>
      <c r="D5" s="616"/>
      <c r="E5" s="616"/>
      <c r="F5" s="616"/>
      <c r="G5" s="616"/>
      <c r="H5" s="549"/>
      <c r="I5" s="789"/>
      <c r="J5" s="559"/>
      <c r="K5" s="559"/>
      <c r="L5" s="559"/>
      <c r="M5" s="617"/>
      <c r="N5" s="618"/>
      <c r="AF5" s="757"/>
    </row>
    <row r="6" spans="1:32" s="126" customFormat="1" ht="8.25" customHeight="1">
      <c r="A6" s="1590"/>
      <c r="B6" s="1590"/>
      <c r="C6" s="1590"/>
      <c r="D6" s="1590"/>
      <c r="E6" s="1590"/>
      <c r="F6" s="1590"/>
      <c r="G6" s="1590"/>
      <c r="H6" s="619"/>
      <c r="I6" s="788"/>
      <c r="AF6" s="757"/>
    </row>
    <row r="7" spans="1:10" ht="14.25" customHeight="1">
      <c r="A7" s="1291" t="s">
        <v>682</v>
      </c>
      <c r="B7" s="570"/>
      <c r="C7" s="570"/>
      <c r="D7" s="571"/>
      <c r="E7" s="570"/>
      <c r="F7" s="570"/>
      <c r="G7" s="572" t="s">
        <v>657</v>
      </c>
      <c r="H7" s="572"/>
      <c r="I7" s="787"/>
      <c r="J7" s="571"/>
    </row>
    <row r="8" spans="1:8" ht="14.25" customHeight="1">
      <c r="A8" s="1591" t="s">
        <v>435</v>
      </c>
      <c r="B8" s="1592" t="s">
        <v>436</v>
      </c>
      <c r="C8" s="1592" t="s">
        <v>348</v>
      </c>
      <c r="D8" s="1430" t="s">
        <v>244</v>
      </c>
      <c r="E8" s="1430"/>
      <c r="F8" s="1430"/>
      <c r="G8" s="1431"/>
      <c r="H8" s="383"/>
    </row>
    <row r="9" spans="1:8" ht="12.75" customHeight="1">
      <c r="A9" s="1591"/>
      <c r="B9" s="1593"/>
      <c r="C9" s="1592"/>
      <c r="D9" s="560" t="s">
        <v>122</v>
      </c>
      <c r="E9" s="560" t="s">
        <v>437</v>
      </c>
      <c r="F9" s="1136"/>
      <c r="G9" s="1103" t="s">
        <v>119</v>
      </c>
      <c r="H9" s="276"/>
    </row>
    <row r="10" spans="1:29" ht="11.25" customHeight="1">
      <c r="A10" s="1591"/>
      <c r="B10" s="1504"/>
      <c r="C10" s="573" t="s">
        <v>125</v>
      </c>
      <c r="D10" s="573"/>
      <c r="E10" s="573" t="s">
        <v>126</v>
      </c>
      <c r="F10" s="782"/>
      <c r="G10" s="1104" t="s">
        <v>127</v>
      </c>
      <c r="H10" s="574"/>
      <c r="AC10" s="726"/>
    </row>
    <row r="11" spans="1:8" ht="15" customHeight="1">
      <c r="A11" s="451" t="s">
        <v>643</v>
      </c>
      <c r="B11" s="777">
        <f>B12</f>
        <v>700296505</v>
      </c>
      <c r="C11" s="777">
        <f>C12</f>
        <v>700331905</v>
      </c>
      <c r="D11" s="777">
        <f>D12</f>
        <v>80920234.16999999</v>
      </c>
      <c r="E11" s="777">
        <f>E12</f>
        <v>422912826.99</v>
      </c>
      <c r="F11" s="778"/>
      <c r="G11" s="1106">
        <f aca="true" t="shared" si="0" ref="G11:G20">(E11/C11)*100</f>
        <v>60.38748541521895</v>
      </c>
      <c r="H11" s="770"/>
    </row>
    <row r="12" spans="1:10" ht="18.75" customHeight="1">
      <c r="A12" s="356" t="s">
        <v>642</v>
      </c>
      <c r="B12" s="777">
        <f>B13+B19+B25+B31+B37</f>
        <v>700296505</v>
      </c>
      <c r="C12" s="777">
        <f>C13+C19+C25+C31+C37</f>
        <v>700331905</v>
      </c>
      <c r="D12" s="777">
        <f>D13+D19+D25+D31</f>
        <v>80920234.16999999</v>
      </c>
      <c r="E12" s="777">
        <f>E13+E19+E25+E31+E37</f>
        <v>422912826.99</v>
      </c>
      <c r="F12" s="778"/>
      <c r="G12" s="1106">
        <f t="shared" si="0"/>
        <v>60.38748541521895</v>
      </c>
      <c r="H12" s="770"/>
      <c r="I12" s="722">
        <v>245780036.38</v>
      </c>
      <c r="J12" s="452"/>
    </row>
    <row r="13" spans="1:32" s="839" customFormat="1" ht="17.25" customHeight="1">
      <c r="A13" s="626" t="s">
        <v>438</v>
      </c>
      <c r="B13" s="777">
        <f>B14+B15+B16+B17-B18</f>
        <v>128637924</v>
      </c>
      <c r="C13" s="777">
        <f>C14+C15+C16+C17</f>
        <v>128637924</v>
      </c>
      <c r="D13" s="777">
        <f>D14+D15+D16+D17</f>
        <v>5133668.010000002</v>
      </c>
      <c r="E13" s="777">
        <f>E14+E15+E16+E17</f>
        <v>40604462.64</v>
      </c>
      <c r="F13" s="778"/>
      <c r="G13" s="1106">
        <f t="shared" si="0"/>
        <v>31.564923762295795</v>
      </c>
      <c r="H13" s="770"/>
      <c r="I13" s="838">
        <v>8440362.53</v>
      </c>
      <c r="AC13" s="624"/>
      <c r="AF13" s="840"/>
    </row>
    <row r="14" spans="1:32" s="453" customFormat="1" ht="18" customHeight="1">
      <c r="A14" s="357" t="s">
        <v>607</v>
      </c>
      <c r="B14" s="761">
        <v>116059302</v>
      </c>
      <c r="C14" s="774">
        <f>B14</f>
        <v>116059302</v>
      </c>
      <c r="D14" s="761">
        <f>E14-'[21]Anexo X _ ENSINO'!E14</f>
        <v>3952460.370000001</v>
      </c>
      <c r="E14" s="774">
        <v>35036230.78</v>
      </c>
      <c r="F14" s="768"/>
      <c r="G14" s="1107">
        <f t="shared" si="0"/>
        <v>30.1882142803168</v>
      </c>
      <c r="H14" s="767"/>
      <c r="I14" s="766"/>
      <c r="AF14" s="772"/>
    </row>
    <row r="15" spans="1:32" s="453" customFormat="1" ht="15" customHeight="1">
      <c r="A15" s="357" t="s">
        <v>439</v>
      </c>
      <c r="B15" s="774">
        <v>1036878</v>
      </c>
      <c r="C15" s="774">
        <f>B15</f>
        <v>1036878</v>
      </c>
      <c r="D15" s="761">
        <f>E15-'[21]Anexo X _ ENSINO'!E15</f>
        <v>292130.81999999983</v>
      </c>
      <c r="E15" s="774">
        <v>1618498.68</v>
      </c>
      <c r="F15" s="768"/>
      <c r="G15" s="1107">
        <f t="shared" si="0"/>
        <v>156.09345361749405</v>
      </c>
      <c r="H15" s="767"/>
      <c r="I15" s="766"/>
      <c r="AF15" s="772"/>
    </row>
    <row r="16" spans="1:32" s="453" customFormat="1" ht="15" customHeight="1">
      <c r="A16" s="357" t="s">
        <v>440</v>
      </c>
      <c r="B16" s="774">
        <v>9380628</v>
      </c>
      <c r="C16" s="774">
        <f>B16</f>
        <v>9380628</v>
      </c>
      <c r="D16" s="761">
        <f>E16-'[21]Anexo X _ ENSINO'!E16</f>
        <v>590877.5100000002</v>
      </c>
      <c r="E16" s="774">
        <v>2794463.35</v>
      </c>
      <c r="F16" s="768"/>
      <c r="G16" s="1107">
        <f t="shared" si="0"/>
        <v>29.789725698535324</v>
      </c>
      <c r="H16" s="767"/>
      <c r="I16" s="766">
        <v>28321272.12</v>
      </c>
      <c r="AF16" s="772"/>
    </row>
    <row r="17" spans="1:32" s="453" customFormat="1" ht="15" customHeight="1">
      <c r="A17" s="357" t="s">
        <v>441</v>
      </c>
      <c r="B17" s="774">
        <v>2161116</v>
      </c>
      <c r="C17" s="774">
        <f>B17</f>
        <v>2161116</v>
      </c>
      <c r="D17" s="761">
        <f>E17-'[21]Anexo X _ ENSINO'!E17</f>
        <v>298199.31000000006</v>
      </c>
      <c r="E17" s="774">
        <v>1155269.83</v>
      </c>
      <c r="F17" s="768"/>
      <c r="G17" s="1107">
        <f t="shared" si="0"/>
        <v>53.457094852844556</v>
      </c>
      <c r="H17" s="767"/>
      <c r="I17" s="766">
        <v>32661203.88</v>
      </c>
      <c r="J17" s="454"/>
      <c r="U17" s="471"/>
      <c r="AF17" s="772"/>
    </row>
    <row r="18" spans="1:32" s="453" customFormat="1" ht="15" customHeight="1">
      <c r="A18" s="357" t="s">
        <v>631</v>
      </c>
      <c r="B18" s="774"/>
      <c r="C18" s="774"/>
      <c r="D18" s="761">
        <f>E18-'[21]Anexo X _ ENSINO'!E18</f>
        <v>0</v>
      </c>
      <c r="E18" s="774">
        <v>0</v>
      </c>
      <c r="F18" s="768"/>
      <c r="G18" s="1107" t="e">
        <f t="shared" si="0"/>
        <v>#DIV/0!</v>
      </c>
      <c r="H18" s="767"/>
      <c r="I18" s="766"/>
      <c r="J18" s="454"/>
      <c r="U18" s="471"/>
      <c r="AF18" s="895"/>
    </row>
    <row r="19" spans="1:32" s="839" customFormat="1" ht="15" customHeight="1">
      <c r="A19" s="626" t="s">
        <v>442</v>
      </c>
      <c r="B19" s="777">
        <f>B20+B21+B22+B23</f>
        <v>32496605</v>
      </c>
      <c r="C19" s="777">
        <f>C20+C21+C22+C23</f>
        <v>32496605</v>
      </c>
      <c r="D19" s="777">
        <f>D20+D21+D22+D23</f>
        <v>3390526.3599999994</v>
      </c>
      <c r="E19" s="777">
        <f>E20+E21+E22+E23</f>
        <v>15062658.84</v>
      </c>
      <c r="F19" s="778"/>
      <c r="G19" s="1106">
        <f t="shared" si="0"/>
        <v>46.35148453199957</v>
      </c>
      <c r="H19" s="770"/>
      <c r="I19" s="838"/>
      <c r="W19" s="841">
        <f>W20+W26</f>
        <v>23294194.41</v>
      </c>
      <c r="AF19" s="840"/>
    </row>
    <row r="20" spans="1:32" s="453" customFormat="1" ht="15" customHeight="1">
      <c r="A20" s="357" t="s">
        <v>443</v>
      </c>
      <c r="B20" s="774">
        <v>32496605</v>
      </c>
      <c r="C20" s="774">
        <f>B20</f>
        <v>32496605</v>
      </c>
      <c r="D20" s="761">
        <f>E20-'[21]Anexo X _ ENSINO'!E20</f>
        <v>3390526.3599999994</v>
      </c>
      <c r="E20" s="774">
        <v>15062658.84</v>
      </c>
      <c r="F20" s="768"/>
      <c r="G20" s="1107">
        <f t="shared" si="0"/>
        <v>46.35148453199957</v>
      </c>
      <c r="H20" s="767"/>
      <c r="I20" s="766">
        <v>160661.28</v>
      </c>
      <c r="W20" s="786">
        <v>21811743.51</v>
      </c>
      <c r="AF20" s="772"/>
    </row>
    <row r="21" spans="1:32" s="453" customFormat="1" ht="15" customHeight="1">
      <c r="A21" s="357" t="s">
        <v>444</v>
      </c>
      <c r="B21" s="774">
        <v>0</v>
      </c>
      <c r="C21" s="774">
        <f>B21</f>
        <v>0</v>
      </c>
      <c r="D21" s="761">
        <f>E21-'[21]Anexo X _ ENSINO'!E21</f>
        <v>0</v>
      </c>
      <c r="E21" s="774">
        <v>0</v>
      </c>
      <c r="F21" s="768"/>
      <c r="G21" s="1107">
        <v>0</v>
      </c>
      <c r="H21" s="767"/>
      <c r="I21" s="766">
        <v>13942911.95</v>
      </c>
      <c r="AF21" s="772"/>
    </row>
    <row r="22" spans="1:32" s="453" customFormat="1" ht="15" customHeight="1">
      <c r="A22" s="357" t="s">
        <v>445</v>
      </c>
      <c r="B22" s="774">
        <v>0</v>
      </c>
      <c r="C22" s="774">
        <f>B22</f>
        <v>0</v>
      </c>
      <c r="D22" s="761">
        <f>E22-'[21]Anexo X _ ENSINO'!E22</f>
        <v>0</v>
      </c>
      <c r="E22" s="774">
        <v>0</v>
      </c>
      <c r="F22" s="768"/>
      <c r="G22" s="1107">
        <v>0</v>
      </c>
      <c r="H22" s="767"/>
      <c r="I22" s="766"/>
      <c r="AF22" s="772"/>
    </row>
    <row r="23" spans="1:32" s="453" customFormat="1" ht="15" customHeight="1">
      <c r="A23" s="357" t="s">
        <v>446</v>
      </c>
      <c r="B23" s="774">
        <v>0</v>
      </c>
      <c r="C23" s="774">
        <f>B23</f>
        <v>0</v>
      </c>
      <c r="D23" s="761">
        <f>E23-'[21]Anexo X _ ENSINO'!E23</f>
        <v>0</v>
      </c>
      <c r="E23" s="774">
        <v>0</v>
      </c>
      <c r="F23" s="768"/>
      <c r="G23" s="1107">
        <v>0</v>
      </c>
      <c r="H23" s="767"/>
      <c r="I23" s="766"/>
      <c r="AF23" s="772"/>
    </row>
    <row r="24" spans="1:32" s="453" customFormat="1" ht="15" customHeight="1">
      <c r="A24" s="357" t="s">
        <v>632</v>
      </c>
      <c r="B24" s="774"/>
      <c r="C24" s="774"/>
      <c r="D24" s="761">
        <f>E24-'[21]Anexo X _ ENSINO'!E24</f>
        <v>0</v>
      </c>
      <c r="E24" s="774">
        <v>0</v>
      </c>
      <c r="F24" s="768"/>
      <c r="G24" s="1107"/>
      <c r="H24" s="767"/>
      <c r="I24" s="766"/>
      <c r="AF24" s="895"/>
    </row>
    <row r="25" spans="1:32" s="839" customFormat="1" ht="15" customHeight="1">
      <c r="A25" s="626" t="s">
        <v>447</v>
      </c>
      <c r="B25" s="777">
        <f>B26+B27+B28+B29</f>
        <v>485631424</v>
      </c>
      <c r="C25" s="777">
        <f>C26+C27+C28+C29</f>
        <v>485666824</v>
      </c>
      <c r="D25" s="777">
        <f>D26+D27+D28+D29</f>
        <v>66171916.559999995</v>
      </c>
      <c r="E25" s="777">
        <f>E26+E27+E28+E29</f>
        <v>335524596.05</v>
      </c>
      <c r="F25" s="778"/>
      <c r="G25" s="1106">
        <f aca="true" t="shared" si="1" ref="G25:G53">(E25/C25)*100</f>
        <v>69.08534399911986</v>
      </c>
      <c r="H25" s="770"/>
      <c r="I25" s="838">
        <v>53237.44</v>
      </c>
      <c r="AF25" s="840"/>
    </row>
    <row r="26" spans="1:32" s="453" customFormat="1" ht="15" customHeight="1">
      <c r="A26" s="357" t="s">
        <v>448</v>
      </c>
      <c r="B26" s="774">
        <v>470627502</v>
      </c>
      <c r="C26" s="774">
        <v>470662902</v>
      </c>
      <c r="D26" s="761">
        <f>E26-'[21]Anexo X _ ENSINO'!E26</f>
        <v>64812497.94</v>
      </c>
      <c r="E26" s="774">
        <v>323591742.49</v>
      </c>
      <c r="F26" s="768"/>
      <c r="G26" s="1107">
        <f t="shared" si="1"/>
        <v>68.75233656932664</v>
      </c>
      <c r="H26" s="767"/>
      <c r="I26" s="766"/>
      <c r="U26" s="760">
        <f>1012199.09+212.2+3304.82</f>
        <v>1015716.1099999999</v>
      </c>
      <c r="V26" s="760">
        <f>465567.93+583.86+583</f>
        <v>466734.79</v>
      </c>
      <c r="W26" s="620">
        <f>U26+V26</f>
        <v>1482450.9</v>
      </c>
      <c r="AF26" s="772"/>
    </row>
    <row r="27" spans="1:32" s="453" customFormat="1" ht="15" customHeight="1">
      <c r="A27" s="357" t="s">
        <v>449</v>
      </c>
      <c r="B27" s="774">
        <v>2149872</v>
      </c>
      <c r="C27" s="774">
        <f>B27</f>
        <v>2149872</v>
      </c>
      <c r="D27" s="761">
        <f>E27-'[21]Anexo X _ ENSINO'!E27</f>
        <v>338337.4099999999</v>
      </c>
      <c r="E27" s="774">
        <v>1538873.72</v>
      </c>
      <c r="F27" s="768"/>
      <c r="G27" s="1107">
        <f t="shared" si="1"/>
        <v>71.5797833545439</v>
      </c>
      <c r="H27" s="767"/>
      <c r="I27" s="766">
        <v>64127.78</v>
      </c>
      <c r="W27" s="454">
        <f>E7</f>
        <v>0</v>
      </c>
      <c r="AF27" s="772"/>
    </row>
    <row r="28" spans="1:32" s="453" customFormat="1" ht="15" customHeight="1">
      <c r="A28" s="357" t="s">
        <v>450</v>
      </c>
      <c r="B28" s="774">
        <v>9163814</v>
      </c>
      <c r="C28" s="774">
        <f>B28</f>
        <v>9163814</v>
      </c>
      <c r="D28" s="761">
        <f>E28-'[21]Anexo X _ ENSINO'!E28</f>
        <v>624598.9900000002</v>
      </c>
      <c r="E28" s="774">
        <v>7520290.4</v>
      </c>
      <c r="F28" s="768"/>
      <c r="G28" s="1107">
        <f t="shared" si="1"/>
        <v>82.06507028623672</v>
      </c>
      <c r="H28" s="767"/>
      <c r="I28" s="766"/>
      <c r="W28" s="620">
        <f>W26-W27</f>
        <v>1482450.9</v>
      </c>
      <c r="AF28" s="772"/>
    </row>
    <row r="29" spans="1:32" s="453" customFormat="1" ht="15" customHeight="1">
      <c r="A29" s="357" t="s">
        <v>451</v>
      </c>
      <c r="B29" s="774">
        <v>3690236</v>
      </c>
      <c r="C29" s="774">
        <f>B29</f>
        <v>3690236</v>
      </c>
      <c r="D29" s="761">
        <f>E29-'[21]Anexo X _ ENSINO'!E29</f>
        <v>396482.21999999974</v>
      </c>
      <c r="E29" s="774">
        <v>2873689.44</v>
      </c>
      <c r="F29" s="768"/>
      <c r="G29" s="1107">
        <f t="shared" si="1"/>
        <v>77.87278212016793</v>
      </c>
      <c r="H29" s="767"/>
      <c r="I29" s="766">
        <v>762472645.23</v>
      </c>
      <c r="AF29" s="772"/>
    </row>
    <row r="30" spans="1:32" s="453" customFormat="1" ht="15" customHeight="1">
      <c r="A30" s="357" t="s">
        <v>633</v>
      </c>
      <c r="B30" s="774"/>
      <c r="C30" s="774"/>
      <c r="D30" s="761">
        <f>E30-'[21]Anexo X _ ENSINO'!E30</f>
        <v>0</v>
      </c>
      <c r="E30" s="774"/>
      <c r="F30" s="768"/>
      <c r="G30" s="1107"/>
      <c r="H30" s="767"/>
      <c r="I30" s="766"/>
      <c r="AF30" s="895"/>
    </row>
    <row r="31" spans="1:32" s="839" customFormat="1" ht="15" customHeight="1">
      <c r="A31" s="626" t="s">
        <v>635</v>
      </c>
      <c r="B31" s="777">
        <f>B32+B33+B34+B35-36</f>
        <v>53530552</v>
      </c>
      <c r="C31" s="777">
        <f>C32+C33+C34+C35-36</f>
        <v>53530552</v>
      </c>
      <c r="D31" s="777">
        <f>D32+D33+D34+D35</f>
        <v>6224123.240000002</v>
      </c>
      <c r="E31" s="777">
        <f>E32+E33+E34+E35</f>
        <v>31721109.46</v>
      </c>
      <c r="F31" s="778"/>
      <c r="G31" s="1106">
        <f t="shared" si="1"/>
        <v>59.257953215203166</v>
      </c>
      <c r="H31" s="770"/>
      <c r="I31" s="838">
        <v>35000000</v>
      </c>
      <c r="AF31" s="840"/>
    </row>
    <row r="32" spans="1:32" s="453" customFormat="1" ht="15" customHeight="1">
      <c r="A32" s="357" t="s">
        <v>452</v>
      </c>
      <c r="B32" s="774">
        <v>53530588</v>
      </c>
      <c r="C32" s="774">
        <f>B32</f>
        <v>53530588</v>
      </c>
      <c r="D32" s="761">
        <f>E32-'[21]Anexo X _ ENSINO'!E32</f>
        <v>6224123.240000002</v>
      </c>
      <c r="E32" s="774">
        <v>31721109.46</v>
      </c>
      <c r="F32" s="768"/>
      <c r="G32" s="1107">
        <f t="shared" si="1"/>
        <v>59.25791336347734</v>
      </c>
      <c r="H32" s="767"/>
      <c r="I32" s="766">
        <v>81259659.38</v>
      </c>
      <c r="AF32" s="772"/>
    </row>
    <row r="33" spans="1:32" s="453" customFormat="1" ht="15" customHeight="1">
      <c r="A33" s="357" t="s">
        <v>453</v>
      </c>
      <c r="B33" s="774"/>
      <c r="C33" s="774">
        <f>B33</f>
        <v>0</v>
      </c>
      <c r="D33" s="761">
        <f>E33-'[21]Anexo X _ ENSINO'!E33</f>
        <v>0</v>
      </c>
      <c r="E33" s="774">
        <v>0</v>
      </c>
      <c r="F33" s="768"/>
      <c r="G33" s="1107" t="e">
        <f t="shared" si="1"/>
        <v>#DIV/0!</v>
      </c>
      <c r="H33" s="767"/>
      <c r="I33" s="766"/>
      <c r="AF33" s="772"/>
    </row>
    <row r="34" spans="1:32" s="453" customFormat="1" ht="15" customHeight="1">
      <c r="A34" s="357" t="s">
        <v>454</v>
      </c>
      <c r="B34" s="774"/>
      <c r="C34" s="774">
        <f>B34</f>
        <v>0</v>
      </c>
      <c r="D34" s="761">
        <f>E34-'[21]Anexo X _ ENSINO'!E34</f>
        <v>0</v>
      </c>
      <c r="E34" s="774">
        <v>0</v>
      </c>
      <c r="F34" s="768"/>
      <c r="G34" s="1107" t="e">
        <f t="shared" si="1"/>
        <v>#DIV/0!</v>
      </c>
      <c r="H34" s="767"/>
      <c r="I34" s="766">
        <v>14226445.88</v>
      </c>
      <c r="AF34" s="772"/>
    </row>
    <row r="35" spans="1:32" s="453" customFormat="1" ht="15" customHeight="1">
      <c r="A35" s="357" t="s">
        <v>455</v>
      </c>
      <c r="B35" s="774"/>
      <c r="C35" s="774">
        <f>B35</f>
        <v>0</v>
      </c>
      <c r="D35" s="761">
        <f>E35-'[21]Anexo X _ ENSINO'!E35</f>
        <v>0</v>
      </c>
      <c r="E35" s="774">
        <v>0</v>
      </c>
      <c r="F35" s="768"/>
      <c r="G35" s="1107" t="e">
        <f t="shared" si="1"/>
        <v>#DIV/0!</v>
      </c>
      <c r="H35" s="767"/>
      <c r="I35" s="766"/>
      <c r="AF35" s="772"/>
    </row>
    <row r="36" spans="1:32" s="453" customFormat="1" ht="15" customHeight="1">
      <c r="A36" s="357" t="s">
        <v>634</v>
      </c>
      <c r="B36" s="774"/>
      <c r="C36" s="774"/>
      <c r="D36" s="761">
        <f>E36-'[21]Anexo X _ ENSINO'!E36</f>
        <v>0</v>
      </c>
      <c r="E36" s="774"/>
      <c r="F36" s="768"/>
      <c r="G36" s="1107"/>
      <c r="H36" s="767"/>
      <c r="I36" s="766"/>
      <c r="AF36" s="895"/>
    </row>
    <row r="37" spans="1:32" s="453" customFormat="1" ht="15" customHeight="1">
      <c r="A37" s="626" t="s">
        <v>636</v>
      </c>
      <c r="B37" s="777">
        <f>B38+B39+B40+B41-B42</f>
        <v>0</v>
      </c>
      <c r="C37" s="777">
        <f>C38+C39+C40+C41-C42</f>
        <v>0</v>
      </c>
      <c r="D37" s="777">
        <f>D38+D39+D40+D41-D42</f>
        <v>0</v>
      </c>
      <c r="E37" s="777">
        <f>E38+E39+E40+E41-E42</f>
        <v>0</v>
      </c>
      <c r="F37" s="768"/>
      <c r="G37" s="1107"/>
      <c r="H37" s="767"/>
      <c r="I37" s="766"/>
      <c r="AF37" s="895"/>
    </row>
    <row r="38" spans="1:32" s="453" customFormat="1" ht="15" customHeight="1">
      <c r="A38" s="357" t="s">
        <v>637</v>
      </c>
      <c r="B38" s="774"/>
      <c r="C38" s="774"/>
      <c r="D38" s="761">
        <f>E38-'[21]Anexo X _ ENSINO'!E38</f>
        <v>0</v>
      </c>
      <c r="E38" s="774">
        <v>0</v>
      </c>
      <c r="F38" s="768"/>
      <c r="G38" s="1107"/>
      <c r="H38" s="767"/>
      <c r="I38" s="766"/>
      <c r="AF38" s="895"/>
    </row>
    <row r="39" spans="1:32" s="453" customFormat="1" ht="15" customHeight="1">
      <c r="A39" s="357" t="s">
        <v>638</v>
      </c>
      <c r="B39" s="774"/>
      <c r="C39" s="774"/>
      <c r="D39" s="761">
        <f>E39-'[21]Anexo X _ ENSINO'!E39</f>
        <v>0</v>
      </c>
      <c r="E39" s="774">
        <v>0</v>
      </c>
      <c r="F39" s="768"/>
      <c r="G39" s="1107"/>
      <c r="H39" s="767"/>
      <c r="I39" s="766"/>
      <c r="AF39" s="895"/>
    </row>
    <row r="40" spans="1:32" s="453" customFormat="1" ht="15" customHeight="1">
      <c r="A40" s="357" t="s">
        <v>639</v>
      </c>
      <c r="B40" s="774"/>
      <c r="C40" s="774"/>
      <c r="D40" s="761">
        <f>E40-'[21]Anexo X _ ENSINO'!E40</f>
        <v>0</v>
      </c>
      <c r="E40" s="774">
        <v>0</v>
      </c>
      <c r="F40" s="768"/>
      <c r="G40" s="1107"/>
      <c r="H40" s="767"/>
      <c r="I40" s="766"/>
      <c r="AF40" s="895"/>
    </row>
    <row r="41" spans="1:32" s="453" customFormat="1" ht="15" customHeight="1">
      <c r="A41" s="357" t="s">
        <v>640</v>
      </c>
      <c r="B41" s="774"/>
      <c r="C41" s="774"/>
      <c r="D41" s="761">
        <f>E41-'[21]Anexo X _ ENSINO'!E41</f>
        <v>0</v>
      </c>
      <c r="E41" s="774">
        <v>0</v>
      </c>
      <c r="F41" s="768"/>
      <c r="G41" s="1107"/>
      <c r="H41" s="767"/>
      <c r="I41" s="766"/>
      <c r="AF41" s="895"/>
    </row>
    <row r="42" spans="1:32" s="453" customFormat="1" ht="15" customHeight="1">
      <c r="A42" s="357" t="s">
        <v>641</v>
      </c>
      <c r="B42" s="774"/>
      <c r="C42" s="774"/>
      <c r="D42" s="761">
        <f>E42-'[21]Anexo X _ ENSINO'!E42</f>
        <v>0</v>
      </c>
      <c r="E42" s="774">
        <v>0</v>
      </c>
      <c r="F42" s="768"/>
      <c r="G42" s="1107"/>
      <c r="H42" s="767"/>
      <c r="I42" s="766"/>
      <c r="AF42" s="895"/>
    </row>
    <row r="43" spans="1:32" s="453" customFormat="1" ht="15" customHeight="1">
      <c r="A43" s="356" t="s">
        <v>644</v>
      </c>
      <c r="B43" s="777">
        <f>B44+SUM(B47:B52)</f>
        <v>1079013287</v>
      </c>
      <c r="C43" s="777">
        <f>C44+SUM(C47:C52)</f>
        <v>1079013287</v>
      </c>
      <c r="D43" s="777">
        <f>D44+SUM(D47:D52)</f>
        <v>113754581.87</v>
      </c>
      <c r="E43" s="777">
        <f>E44+SUM(E47:E52)</f>
        <v>640557662.21</v>
      </c>
      <c r="F43" s="778"/>
      <c r="G43" s="1106">
        <f t="shared" si="1"/>
        <v>59.365132007869335</v>
      </c>
      <c r="H43" s="770"/>
      <c r="I43" s="766">
        <v>8387246.96</v>
      </c>
      <c r="J43" s="454"/>
      <c r="P43" s="453">
        <v>198145803.03</v>
      </c>
      <c r="Q43" s="454">
        <f>P43-E43</f>
        <v>-442411859.18000007</v>
      </c>
      <c r="AF43" s="772"/>
    </row>
    <row r="44" spans="1:32" s="453" customFormat="1" ht="16.5" customHeight="1">
      <c r="A44" s="357" t="s">
        <v>456</v>
      </c>
      <c r="B44" s="774">
        <f>B45+B46</f>
        <v>509780102</v>
      </c>
      <c r="C44" s="774">
        <f>C45+C46</f>
        <v>509780102</v>
      </c>
      <c r="D44" s="774">
        <f>D45+D46</f>
        <v>43831690.389999986</v>
      </c>
      <c r="E44" s="774">
        <f>E45+E46</f>
        <v>275542054.89</v>
      </c>
      <c r="F44" s="768"/>
      <c r="G44" s="1107">
        <f t="shared" si="1"/>
        <v>54.051159276122554</v>
      </c>
      <c r="H44" s="767"/>
      <c r="I44" s="766">
        <v>10267730.1</v>
      </c>
      <c r="AC44" s="620"/>
      <c r="AF44" s="772"/>
    </row>
    <row r="45" spans="1:32" s="879" customFormat="1" ht="16.5" customHeight="1">
      <c r="A45" s="357" t="s">
        <v>645</v>
      </c>
      <c r="B45" s="774">
        <v>509780102</v>
      </c>
      <c r="C45" s="774">
        <f>B45</f>
        <v>509780102</v>
      </c>
      <c r="D45" s="761">
        <f>E45-'[21]Anexo X _ ENSINO'!E45</f>
        <v>43831690.389999986</v>
      </c>
      <c r="E45" s="774">
        <v>275542054.89</v>
      </c>
      <c r="F45" s="768"/>
      <c r="G45" s="1107">
        <f t="shared" si="1"/>
        <v>54.051159276122554</v>
      </c>
      <c r="H45" s="877"/>
      <c r="I45" s="878"/>
      <c r="AC45" s="881"/>
      <c r="AF45" s="880"/>
    </row>
    <row r="46" spans="1:32" s="879" customFormat="1" ht="16.5" customHeight="1">
      <c r="A46" s="357" t="s">
        <v>646</v>
      </c>
      <c r="B46" s="774">
        <v>0</v>
      </c>
      <c r="C46" s="774">
        <v>0</v>
      </c>
      <c r="D46" s="761">
        <f>E46-'[21]Anexo X _ ENSINO'!E46</f>
        <v>0</v>
      </c>
      <c r="E46" s="774">
        <v>0</v>
      </c>
      <c r="F46" s="768"/>
      <c r="G46" s="1107" t="e">
        <f t="shared" si="1"/>
        <v>#DIV/0!</v>
      </c>
      <c r="H46" s="877"/>
      <c r="I46" s="878"/>
      <c r="AC46" s="881"/>
      <c r="AF46" s="880"/>
    </row>
    <row r="47" spans="1:32" s="453" customFormat="1" ht="17.25" customHeight="1">
      <c r="A47" s="357" t="s">
        <v>457</v>
      </c>
      <c r="B47" s="774">
        <v>498791966</v>
      </c>
      <c r="C47" s="774">
        <f aca="true" t="shared" si="2" ref="C47:C52">B47</f>
        <v>498791966</v>
      </c>
      <c r="D47" s="761">
        <f>E47-'[21]Anexo X _ ENSINO'!E47</f>
        <v>64765705.890000015</v>
      </c>
      <c r="E47" s="774">
        <v>300761069.36</v>
      </c>
      <c r="F47" s="768"/>
      <c r="G47" s="1107">
        <f t="shared" si="1"/>
        <v>60.297897693083534</v>
      </c>
      <c r="H47" s="767"/>
      <c r="I47" s="766">
        <f>'[19]Receita 2009'!$R$102</f>
        <v>254284330.13</v>
      </c>
      <c r="J47" s="454"/>
      <c r="U47" s="620"/>
      <c r="AC47" s="785"/>
      <c r="AF47" s="772"/>
    </row>
    <row r="48" spans="1:32" s="453" customFormat="1" ht="16.5" customHeight="1">
      <c r="A48" s="357" t="s">
        <v>458</v>
      </c>
      <c r="B48" s="774">
        <v>3556784</v>
      </c>
      <c r="C48" s="774">
        <f t="shared" si="2"/>
        <v>3556784</v>
      </c>
      <c r="D48" s="761">
        <f>E48-'[21]Anexo X _ ENSINO'!E48</f>
        <v>554523.2599999998</v>
      </c>
      <c r="E48" s="774">
        <v>2772616.3</v>
      </c>
      <c r="F48" s="768"/>
      <c r="G48" s="1107">
        <f t="shared" si="1"/>
        <v>77.95290071030459</v>
      </c>
      <c r="H48" s="767"/>
      <c r="I48" s="766"/>
      <c r="J48" s="454"/>
      <c r="AF48" s="772"/>
    </row>
    <row r="49" spans="1:32" s="453" customFormat="1" ht="15.75" customHeight="1">
      <c r="A49" s="357" t="s">
        <v>459</v>
      </c>
      <c r="B49" s="774">
        <v>3946633</v>
      </c>
      <c r="C49" s="774">
        <f t="shared" si="2"/>
        <v>3946633</v>
      </c>
      <c r="D49" s="761">
        <f>E49-'[21]Anexo X _ ENSINO'!E49</f>
        <v>733241.29</v>
      </c>
      <c r="E49" s="774">
        <v>3442799.18</v>
      </c>
      <c r="F49" s="768"/>
      <c r="G49" s="1107">
        <f t="shared" si="1"/>
        <v>87.2338314710286</v>
      </c>
      <c r="H49" s="767"/>
      <c r="I49" s="766">
        <v>260539.46</v>
      </c>
      <c r="J49" s="766"/>
      <c r="K49" s="454">
        <f>I49+J49</f>
        <v>260539.46</v>
      </c>
      <c r="L49" s="454">
        <f>K49-D49</f>
        <v>-472701.8300000001</v>
      </c>
      <c r="AF49" s="772"/>
    </row>
    <row r="50" spans="1:32" s="453" customFormat="1" ht="17.25" customHeight="1">
      <c r="A50" s="357" t="s">
        <v>460</v>
      </c>
      <c r="B50" s="774">
        <v>5939</v>
      </c>
      <c r="C50" s="774">
        <f t="shared" si="2"/>
        <v>5939</v>
      </c>
      <c r="D50" s="761">
        <f>E50-'[21]Anexo X _ ENSINO'!E50</f>
        <v>4354.970000000001</v>
      </c>
      <c r="E50" s="774">
        <v>14140.77</v>
      </c>
      <c r="F50" s="768"/>
      <c r="G50" s="1107">
        <f t="shared" si="1"/>
        <v>238.1001852163664</v>
      </c>
      <c r="H50" s="767"/>
      <c r="I50" s="766"/>
      <c r="AF50" s="772"/>
    </row>
    <row r="51" spans="1:32" s="453" customFormat="1" ht="15.75" customHeight="1">
      <c r="A51" s="357" t="s">
        <v>461</v>
      </c>
      <c r="B51" s="774">
        <v>62931863</v>
      </c>
      <c r="C51" s="774">
        <f t="shared" si="2"/>
        <v>62931863</v>
      </c>
      <c r="D51" s="761">
        <f>E51-'[21]Anexo X _ ENSINO'!E51</f>
        <v>3865066.0700000003</v>
      </c>
      <c r="E51" s="774">
        <v>58024981.71</v>
      </c>
      <c r="F51" s="768"/>
      <c r="G51" s="1107">
        <f t="shared" si="1"/>
        <v>92.2028666305334</v>
      </c>
      <c r="H51" s="767"/>
      <c r="I51" s="766"/>
      <c r="AF51" s="772"/>
    </row>
    <row r="52" spans="1:32" s="453" customFormat="1" ht="16.5" customHeight="1">
      <c r="A52" s="357" t="s">
        <v>462</v>
      </c>
      <c r="B52" s="774">
        <v>0</v>
      </c>
      <c r="C52" s="774">
        <f t="shared" si="2"/>
        <v>0</v>
      </c>
      <c r="D52" s="761">
        <f>E52-'[21]Anexo X _ ENSINO'!E52</f>
        <v>0</v>
      </c>
      <c r="E52" s="774">
        <v>0</v>
      </c>
      <c r="F52" s="768"/>
      <c r="G52" s="1107" t="e">
        <f t="shared" si="1"/>
        <v>#DIV/0!</v>
      </c>
      <c r="H52" s="767"/>
      <c r="I52" s="766"/>
      <c r="U52" s="621" t="s">
        <v>608</v>
      </c>
      <c r="AF52" s="772"/>
    </row>
    <row r="53" spans="1:32" s="453" customFormat="1" ht="21" customHeight="1">
      <c r="A53" s="575" t="s">
        <v>463</v>
      </c>
      <c r="B53" s="864">
        <f>B11+B43</f>
        <v>1779309792</v>
      </c>
      <c r="C53" s="864">
        <f>C11+C43</f>
        <v>1779345192</v>
      </c>
      <c r="D53" s="864">
        <f>D11+D43</f>
        <v>194674816.04</v>
      </c>
      <c r="E53" s="864">
        <f>E11+E43</f>
        <v>1063470489.2</v>
      </c>
      <c r="F53" s="865"/>
      <c r="G53" s="1108">
        <f t="shared" si="1"/>
        <v>59.76751975847079</v>
      </c>
      <c r="H53" s="767" t="s">
        <v>464</v>
      </c>
      <c r="I53" s="766">
        <v>12597109.09</v>
      </c>
      <c r="U53" s="622">
        <f>E53*25%</f>
        <v>265867622.3</v>
      </c>
      <c r="V53" s="453" t="s">
        <v>609</v>
      </c>
      <c r="AC53" s="848"/>
      <c r="AF53" s="772"/>
    </row>
    <row r="54" spans="4:29" ht="16.5" customHeight="1">
      <c r="D54" s="276"/>
      <c r="E54" s="276"/>
      <c r="F54" s="276"/>
      <c r="G54" s="1109"/>
      <c r="H54" s="767" t="s">
        <v>465</v>
      </c>
      <c r="I54" s="722">
        <v>1795655.11</v>
      </c>
      <c r="U54" s="452">
        <f>E149</f>
        <v>247728863.152</v>
      </c>
      <c r="V54" s="340" t="s">
        <v>610</v>
      </c>
      <c r="AC54" s="276"/>
    </row>
    <row r="55" spans="1:29" ht="17.25" customHeight="1">
      <c r="A55" s="1591" t="s">
        <v>466</v>
      </c>
      <c r="B55" s="1592" t="s">
        <v>436</v>
      </c>
      <c r="C55" s="1592" t="s">
        <v>348</v>
      </c>
      <c r="D55" s="1430" t="s">
        <v>244</v>
      </c>
      <c r="E55" s="1430"/>
      <c r="F55" s="1430"/>
      <c r="G55" s="1431"/>
      <c r="H55" s="767" t="s">
        <v>467</v>
      </c>
      <c r="I55" s="722">
        <v>215792177.29</v>
      </c>
      <c r="U55" s="602">
        <f>U53-U54</f>
        <v>18138759.148000002</v>
      </c>
      <c r="AC55" s="276"/>
    </row>
    <row r="56" spans="1:29" ht="14.25" customHeight="1">
      <c r="A56" s="1591"/>
      <c r="B56" s="1592"/>
      <c r="C56" s="1592"/>
      <c r="D56" s="560" t="s">
        <v>122</v>
      </c>
      <c r="E56" s="560" t="s">
        <v>437</v>
      </c>
      <c r="F56" s="237"/>
      <c r="G56" s="1110" t="s">
        <v>119</v>
      </c>
      <c r="H56" s="767" t="s">
        <v>468</v>
      </c>
      <c r="I56" s="722">
        <v>138544797.81</v>
      </c>
      <c r="AC56" s="768"/>
    </row>
    <row r="57" spans="1:29" ht="12.75" customHeight="1">
      <c r="A57" s="1591"/>
      <c r="B57" s="465"/>
      <c r="C57" s="573" t="s">
        <v>125</v>
      </c>
      <c r="D57" s="573"/>
      <c r="E57" s="573" t="s">
        <v>126</v>
      </c>
      <c r="F57" s="782"/>
      <c r="G57" s="1104" t="s">
        <v>127</v>
      </c>
      <c r="H57" s="767" t="s">
        <v>469</v>
      </c>
      <c r="I57" s="722">
        <v>108817332.07</v>
      </c>
      <c r="AC57" s="768"/>
    </row>
    <row r="58" spans="1:29" ht="18" customHeight="1">
      <c r="A58" s="386" t="s">
        <v>605</v>
      </c>
      <c r="B58" s="784"/>
      <c r="C58" s="784"/>
      <c r="D58" s="761"/>
      <c r="E58" s="1111"/>
      <c r="F58" s="1112"/>
      <c r="G58" s="1113"/>
      <c r="H58" s="767"/>
      <c r="U58" s="623">
        <f>E58</f>
        <v>0</v>
      </c>
      <c r="AC58" s="768"/>
    </row>
    <row r="59" spans="1:32" s="135" customFormat="1" ht="15.75" customHeight="1">
      <c r="A59" s="356" t="s">
        <v>470</v>
      </c>
      <c r="B59" s="777">
        <f>B60+B61+B62</f>
        <v>10540000</v>
      </c>
      <c r="C59" s="777">
        <f>C60+C61+C62</f>
        <v>17540000</v>
      </c>
      <c r="D59" s="777">
        <f>D60+D61</f>
        <v>610511.7800000003</v>
      </c>
      <c r="E59" s="777">
        <f>E60+E61+E62</f>
        <v>4797357.42</v>
      </c>
      <c r="F59" s="837"/>
      <c r="G59" s="1107">
        <f aca="true" t="shared" si="3" ref="G59:G65">(E59/C59)*100</f>
        <v>27.350954503990877</v>
      </c>
      <c r="H59" s="770" t="s">
        <v>471</v>
      </c>
      <c r="I59" s="770">
        <f>I53+I54+I55+(I56-I57)</f>
        <v>259912407.23</v>
      </c>
      <c r="AC59" s="768"/>
      <c r="AF59" s="757"/>
    </row>
    <row r="60" spans="1:32" s="135" customFormat="1" ht="15.75" customHeight="1">
      <c r="A60" s="358" t="s">
        <v>647</v>
      </c>
      <c r="B60" s="774">
        <v>5680000</v>
      </c>
      <c r="C60" s="774">
        <v>12680000</v>
      </c>
      <c r="D60" s="761">
        <f>E60-'[21]Anexo X _ ENSINO'!E60</f>
        <v>610511.7800000003</v>
      </c>
      <c r="E60" s="808">
        <v>3089401.29</v>
      </c>
      <c r="F60" s="809"/>
      <c r="G60" s="1107">
        <f t="shared" si="3"/>
        <v>24.364363485804414</v>
      </c>
      <c r="H60" s="577" t="s">
        <v>471</v>
      </c>
      <c r="I60" s="576">
        <f>I59</f>
        <v>259912407.23</v>
      </c>
      <c r="AC60" s="768"/>
      <c r="AF60" s="896"/>
    </row>
    <row r="61" spans="1:32" s="135" customFormat="1" ht="15.75" customHeight="1">
      <c r="A61" s="358" t="s">
        <v>648</v>
      </c>
      <c r="B61" s="774">
        <v>4860000</v>
      </c>
      <c r="C61" s="774">
        <f>B61</f>
        <v>4860000</v>
      </c>
      <c r="D61" s="761">
        <f>E61-'[21]Anexo X _ ENSINO'!E61</f>
        <v>0</v>
      </c>
      <c r="E61" s="808">
        <v>1707956.13</v>
      </c>
      <c r="F61" s="809"/>
      <c r="G61" s="1107">
        <f t="shared" si="3"/>
        <v>35.14313024691358</v>
      </c>
      <c r="H61" s="577" t="s">
        <v>472</v>
      </c>
      <c r="I61" s="197">
        <f>I54+I59+(I56-I57)</f>
        <v>291435528.08000004</v>
      </c>
      <c r="AC61" s="768"/>
      <c r="AF61" s="896"/>
    </row>
    <row r="62" spans="1:32" s="135" customFormat="1" ht="17.25" customHeight="1">
      <c r="A62" s="358" t="s">
        <v>649</v>
      </c>
      <c r="B62" s="774"/>
      <c r="C62" s="774"/>
      <c r="D62" s="761">
        <f>E62-'[21]Anexo X _ ENSINO'!E62</f>
        <v>0</v>
      </c>
      <c r="E62" s="808">
        <v>0</v>
      </c>
      <c r="F62" s="809"/>
      <c r="G62" s="1107" t="e">
        <f t="shared" si="3"/>
        <v>#DIV/0!</v>
      </c>
      <c r="H62" s="577"/>
      <c r="I62" s="197"/>
      <c r="AC62" s="768"/>
      <c r="AF62" s="896"/>
    </row>
    <row r="63" spans="1:32" s="135" customFormat="1" ht="15.75" customHeight="1">
      <c r="A63" s="359" t="s">
        <v>473</v>
      </c>
      <c r="B63" s="777">
        <f>B64+B65</f>
        <v>12916021</v>
      </c>
      <c r="C63" s="777">
        <f>C64+C65</f>
        <v>12916021</v>
      </c>
      <c r="D63" s="777">
        <f>D64+D65</f>
        <v>206207.64000000013</v>
      </c>
      <c r="E63" s="777">
        <f>E64+E65</f>
        <v>1614332.4000000001</v>
      </c>
      <c r="F63" s="807"/>
      <c r="G63" s="1107">
        <f t="shared" si="3"/>
        <v>12.498682063152422</v>
      </c>
      <c r="I63" s="724"/>
      <c r="U63" s="783"/>
      <c r="AC63" s="768"/>
      <c r="AF63" s="757"/>
    </row>
    <row r="64" spans="1:32" s="135" customFormat="1" ht="15.75" customHeight="1">
      <c r="A64" s="384" t="s">
        <v>650</v>
      </c>
      <c r="B64" s="774">
        <v>11069150</v>
      </c>
      <c r="C64" s="774">
        <f>B64</f>
        <v>11069150</v>
      </c>
      <c r="D64" s="761">
        <f>E64-'[21]Anexo X _ ENSINO'!E64</f>
        <v>0</v>
      </c>
      <c r="E64" s="808">
        <v>189956.84</v>
      </c>
      <c r="F64" s="809"/>
      <c r="G64" s="1107">
        <f t="shared" si="3"/>
        <v>1.7160923828839614</v>
      </c>
      <c r="I64" s="724"/>
      <c r="U64" s="896"/>
      <c r="AC64" s="768"/>
      <c r="AF64" s="896"/>
    </row>
    <row r="65" spans="1:32" s="135" customFormat="1" ht="16.5" customHeight="1">
      <c r="A65" s="384" t="s">
        <v>651</v>
      </c>
      <c r="B65" s="774">
        <v>1846871</v>
      </c>
      <c r="C65" s="897">
        <f>B65</f>
        <v>1846871</v>
      </c>
      <c r="D65" s="761">
        <f>E65-'[21]Anexo X _ ENSINO'!E65</f>
        <v>206207.64000000013</v>
      </c>
      <c r="E65" s="808">
        <v>1424375.56</v>
      </c>
      <c r="F65" s="809"/>
      <c r="G65" s="1107">
        <f t="shared" si="3"/>
        <v>77.12371681617178</v>
      </c>
      <c r="I65" s="724"/>
      <c r="U65" s="896"/>
      <c r="AC65" s="768"/>
      <c r="AF65" s="896"/>
    </row>
    <row r="66" spans="1:32" s="833" customFormat="1" ht="17.25" customHeight="1">
      <c r="A66" s="359" t="s">
        <v>474</v>
      </c>
      <c r="B66" s="777">
        <v>3000000</v>
      </c>
      <c r="C66" s="781">
        <v>3000000</v>
      </c>
      <c r="D66" s="761">
        <f>E66-'[21]Anexo X _ ENSINO'!E66</f>
        <v>0</v>
      </c>
      <c r="E66" s="810">
        <v>0</v>
      </c>
      <c r="F66" s="807"/>
      <c r="G66" s="1106">
        <v>0</v>
      </c>
      <c r="I66" s="834"/>
      <c r="AC66" s="768"/>
      <c r="AF66" s="835"/>
    </row>
    <row r="67" spans="1:32" s="833" customFormat="1" ht="18" customHeight="1">
      <c r="A67" s="359" t="s">
        <v>475</v>
      </c>
      <c r="B67" s="777">
        <v>0</v>
      </c>
      <c r="C67" s="781">
        <v>0</v>
      </c>
      <c r="D67" s="761">
        <f>E67-'[21]Anexo X _ ENSINO'!E67</f>
        <v>0</v>
      </c>
      <c r="E67" s="810">
        <v>0</v>
      </c>
      <c r="F67" s="836"/>
      <c r="G67" s="1106">
        <v>0</v>
      </c>
      <c r="I67" s="834"/>
      <c r="AC67" s="768"/>
      <c r="AF67" s="835"/>
    </row>
    <row r="68" spans="1:32" s="135" customFormat="1" ht="20.25" customHeight="1">
      <c r="A68" s="360" t="s">
        <v>606</v>
      </c>
      <c r="B68" s="771">
        <f>B58+B59+B63+B66+B67</f>
        <v>26456021</v>
      </c>
      <c r="C68" s="771">
        <f>C58+C59+C63+C66+C67</f>
        <v>33456021</v>
      </c>
      <c r="D68" s="771">
        <f>D58+D59+D63+D66+D67</f>
        <v>816719.4200000004</v>
      </c>
      <c r="E68" s="771">
        <f>E58+E59+E63+E66+E67</f>
        <v>6411689.82</v>
      </c>
      <c r="F68" s="771"/>
      <c r="G68" s="1108">
        <f>(E68/C68)*100</f>
        <v>19.164531908920072</v>
      </c>
      <c r="I68" s="724"/>
      <c r="AC68" s="209"/>
      <c r="AF68" s="757"/>
    </row>
    <row r="69" spans="2:7" ht="16.5" customHeight="1">
      <c r="B69" s="456"/>
      <c r="D69" s="276"/>
      <c r="E69" s="276"/>
      <c r="F69" s="276"/>
      <c r="G69" s="1109"/>
    </row>
    <row r="70" spans="1:8" ht="16.5" customHeight="1">
      <c r="A70" s="1591" t="s">
        <v>476</v>
      </c>
      <c r="B70" s="1592" t="s">
        <v>436</v>
      </c>
      <c r="C70" s="1592" t="s">
        <v>348</v>
      </c>
      <c r="D70" s="1430" t="s">
        <v>244</v>
      </c>
      <c r="E70" s="1430"/>
      <c r="F70" s="1430"/>
      <c r="G70" s="1431"/>
      <c r="H70" s="383"/>
    </row>
    <row r="71" spans="1:8" ht="15" customHeight="1">
      <c r="A71" s="1591"/>
      <c r="B71" s="1592"/>
      <c r="C71" s="1592"/>
      <c r="D71" s="560" t="s">
        <v>122</v>
      </c>
      <c r="E71" s="560" t="s">
        <v>437</v>
      </c>
      <c r="F71" s="1136"/>
      <c r="G71" s="1103" t="s">
        <v>119</v>
      </c>
      <c r="H71" s="276"/>
    </row>
    <row r="72" spans="1:31" ht="13.5" customHeight="1">
      <c r="A72" s="1591"/>
      <c r="B72" s="465"/>
      <c r="C72" s="573" t="s">
        <v>125</v>
      </c>
      <c r="D72" s="573"/>
      <c r="E72" s="573" t="s">
        <v>126</v>
      </c>
      <c r="F72" s="782"/>
      <c r="G72" s="1104" t="s">
        <v>127</v>
      </c>
      <c r="H72" s="574"/>
      <c r="I72" s="722" t="s">
        <v>477</v>
      </c>
      <c r="AD72" s="276"/>
      <c r="AE72" s="276"/>
    </row>
    <row r="73" spans="1:32" s="453" customFormat="1" ht="20.25" customHeight="1">
      <c r="A73" s="356" t="s">
        <v>478</v>
      </c>
      <c r="B73" s="777">
        <f>SUM(B74:B79)</f>
        <v>215802658</v>
      </c>
      <c r="C73" s="777">
        <f>SUM(C74:C79)</f>
        <v>215802658</v>
      </c>
      <c r="D73" s="777">
        <f>SUM(D74:D79)</f>
        <v>22750916.283999994</v>
      </c>
      <c r="E73" s="777">
        <f>(SUM(E74:E79))</f>
        <v>128111531.93200001</v>
      </c>
      <c r="F73" s="1675">
        <f aca="true" t="shared" si="4" ref="F73:F84">(E73/C73)*100</f>
        <v>59.365131606488376</v>
      </c>
      <c r="G73" s="1676"/>
      <c r="H73" s="770" t="e">
        <f>#REF!-D73</f>
        <v>#REF!</v>
      </c>
      <c r="I73" s="781">
        <f>SUM(I74:I79)</f>
        <v>108817332.06699999</v>
      </c>
      <c r="J73" s="454">
        <v>17969862.92</v>
      </c>
      <c r="P73" s="773">
        <v>181834.78</v>
      </c>
      <c r="Q73" s="773">
        <f>P73*20%</f>
        <v>36366.956</v>
      </c>
      <c r="U73" s="624">
        <f>SUM(U74:U79)</f>
        <v>79318129.87000002</v>
      </c>
      <c r="V73" s="624">
        <f>SUM(V74:V79)</f>
        <v>-48793402.062</v>
      </c>
      <c r="AC73" s="780"/>
      <c r="AD73" s="779"/>
      <c r="AE73" s="779"/>
      <c r="AF73" s="772"/>
    </row>
    <row r="74" spans="1:32" s="1029" customFormat="1" ht="18" customHeight="1">
      <c r="A74" s="357" t="s">
        <v>479</v>
      </c>
      <c r="B74" s="774">
        <f>(B44*20%)-0.4</f>
        <v>101956020</v>
      </c>
      <c r="C74" s="774">
        <f aca="true" t="shared" si="5" ref="C74:C79">B74</f>
        <v>101956020</v>
      </c>
      <c r="D74" s="761">
        <f>E74-'[21]Anexo X _ ENSINO'!E74</f>
        <v>8766338.027999997</v>
      </c>
      <c r="E74" s="1038">
        <f>(E44*20%)-0.26</f>
        <v>55108410.718</v>
      </c>
      <c r="F74" s="1674">
        <f t="shared" si="4"/>
        <v>54.051159233167404</v>
      </c>
      <c r="G74" s="1605"/>
      <c r="H74" s="1026" t="e">
        <f>#REF!-D74</f>
        <v>#REF!</v>
      </c>
      <c r="I74" s="1027">
        <f>'[19]Receita 2009'!$R$216</f>
        <v>48356255.139000006</v>
      </c>
      <c r="J74" s="1028"/>
      <c r="U74" s="1030">
        <v>34078655.78</v>
      </c>
      <c r="V74" s="1031">
        <f aca="true" t="shared" si="6" ref="V74:V79">U74-E74</f>
        <v>-21029754.938</v>
      </c>
      <c r="AC74" s="1032"/>
      <c r="AD74" s="1032"/>
      <c r="AE74" s="1033"/>
      <c r="AF74" s="1034"/>
    </row>
    <row r="75" spans="1:32" s="1029" customFormat="1" ht="18.75" customHeight="1">
      <c r="A75" s="357" t="s">
        <v>480</v>
      </c>
      <c r="B75" s="774">
        <f>(B47*20%)-0.2</f>
        <v>99758393</v>
      </c>
      <c r="C75" s="774">
        <f t="shared" si="5"/>
        <v>99758393</v>
      </c>
      <c r="D75" s="761">
        <f>E75-'[21]Anexo X _ ENSINO'!E75</f>
        <v>12953141.137999997</v>
      </c>
      <c r="E75" s="1038">
        <f>(E47*20%)-0.27</f>
        <v>60152213.602000006</v>
      </c>
      <c r="F75" s="1674">
        <f>(E75/C75)*100</f>
        <v>60.29789754331749</v>
      </c>
      <c r="G75" s="1605"/>
      <c r="H75" s="1026" t="e">
        <f>#REF!-D75</f>
        <v>#REF!</v>
      </c>
      <c r="I75" s="1027">
        <f>'[19]Receita 2009'!$R$222</f>
        <v>50824696.532000005</v>
      </c>
      <c r="J75" s="1028"/>
      <c r="P75" s="1030">
        <v>16950145.86</v>
      </c>
      <c r="U75" s="1035">
        <v>36025986.95</v>
      </c>
      <c r="V75" s="1031">
        <f t="shared" si="6"/>
        <v>-24126226.652000003</v>
      </c>
      <c r="AC75" s="1032"/>
      <c r="AD75" s="1032"/>
      <c r="AE75" s="1033"/>
      <c r="AF75" s="1034"/>
    </row>
    <row r="76" spans="1:32" s="1029" customFormat="1" ht="15.75" customHeight="1">
      <c r="A76" s="357" t="s">
        <v>481</v>
      </c>
      <c r="B76" s="774">
        <f>(B48*20%)+0.2</f>
        <v>711357</v>
      </c>
      <c r="C76" s="774">
        <f t="shared" si="5"/>
        <v>711357</v>
      </c>
      <c r="D76" s="761">
        <f>E76-'[21]Anexo X _ ENSINO'!E76</f>
        <v>110904.64199999993</v>
      </c>
      <c r="E76" s="1038">
        <f>(E48*20%)-0.06</f>
        <v>554523.2</v>
      </c>
      <c r="F76" s="1674">
        <f>(E76/C76)*100-0.03</f>
        <v>77.92287035904616</v>
      </c>
      <c r="G76" s="1605"/>
      <c r="H76" s="1026" t="e">
        <f>#REF!-D76</f>
        <v>#REF!</v>
      </c>
      <c r="I76" s="1027">
        <f>'[19]Receita 2009'!$R$219</f>
        <v>698316.842</v>
      </c>
      <c r="J76" s="1028"/>
      <c r="P76" s="1036">
        <f>P75-E75</f>
        <v>-43202067.742000006</v>
      </c>
      <c r="U76" s="1037">
        <v>441053.2</v>
      </c>
      <c r="V76" s="1031">
        <f t="shared" si="6"/>
        <v>-113469.99999999994</v>
      </c>
      <c r="AC76" s="1031"/>
      <c r="AF76" s="1034"/>
    </row>
    <row r="77" spans="1:32" s="1029" customFormat="1" ht="21" customHeight="1">
      <c r="A77" s="357" t="s">
        <v>482</v>
      </c>
      <c r="B77" s="774">
        <f>(B49*20%)+0.4</f>
        <v>789327.0000000001</v>
      </c>
      <c r="C77" s="774">
        <f t="shared" si="5"/>
        <v>789327.0000000001</v>
      </c>
      <c r="D77" s="761">
        <f>E77-'[21]Anexo X _ ENSINO'!E77</f>
        <v>146648.25800000003</v>
      </c>
      <c r="E77" s="1038">
        <f>(E49*20%)+0.03</f>
        <v>688559.8660000002</v>
      </c>
      <c r="F77" s="1604">
        <f t="shared" si="4"/>
        <v>87.23379106504656</v>
      </c>
      <c r="G77" s="1605"/>
      <c r="H77" s="1026" t="e">
        <f>#REF!-D77</f>
        <v>#REF!</v>
      </c>
      <c r="I77" s="1027">
        <f>'[19]Receita 2009'!$R$224</f>
        <v>621313.572</v>
      </c>
      <c r="J77" s="1028"/>
      <c r="U77" s="1030">
        <v>483401</v>
      </c>
      <c r="V77" s="1031">
        <f t="shared" si="6"/>
        <v>-205158.86600000015</v>
      </c>
      <c r="AA77" s="778"/>
      <c r="AF77" s="1034"/>
    </row>
    <row r="78" spans="1:32" s="1029" customFormat="1" ht="17.25" customHeight="1">
      <c r="A78" s="357" t="s">
        <v>483</v>
      </c>
      <c r="B78" s="774">
        <f>((B50*20%)+0.2)</f>
        <v>1188</v>
      </c>
      <c r="C78" s="774">
        <f t="shared" si="5"/>
        <v>1188</v>
      </c>
      <c r="D78" s="761">
        <f>E78-'[21]Anexo X _ ENSINO'!E78</f>
        <v>870.9840000000006</v>
      </c>
      <c r="E78" s="774">
        <f>(E50*20%)-0.06</f>
        <v>2828.0940000000005</v>
      </c>
      <c r="F78" s="1604">
        <f t="shared" si="4"/>
        <v>238.05505050505053</v>
      </c>
      <c r="G78" s="1605"/>
      <c r="H78" s="1026" t="e">
        <f>#REF!-D78</f>
        <v>#REF!</v>
      </c>
      <c r="I78" s="1027">
        <f>'[19]Receita 2009'!$R$217</f>
        <v>1100.586</v>
      </c>
      <c r="J78" s="1028"/>
      <c r="U78" s="1030">
        <v>160.93</v>
      </c>
      <c r="V78" s="1031">
        <f t="shared" si="6"/>
        <v>-2667.1640000000007</v>
      </c>
      <c r="AB78" s="620"/>
      <c r="AC78" s="1031"/>
      <c r="AF78" s="1034"/>
    </row>
    <row r="79" spans="1:32" s="1029" customFormat="1" ht="19.5" customHeight="1">
      <c r="A79" s="357" t="s">
        <v>484</v>
      </c>
      <c r="B79" s="774">
        <f>B51*20%+0.4</f>
        <v>12586373.000000002</v>
      </c>
      <c r="C79" s="774">
        <f t="shared" si="5"/>
        <v>12586373.000000002</v>
      </c>
      <c r="D79" s="761">
        <f>E79-'[21]Anexo X _ ENSINO'!E79</f>
        <v>773013.2339999992</v>
      </c>
      <c r="E79" s="774">
        <f>(E51*20%)+0.11</f>
        <v>11604996.452</v>
      </c>
      <c r="F79" s="1604">
        <f>(E79/C79)*100+0.02</f>
        <v>92.22286457425024</v>
      </c>
      <c r="G79" s="1605"/>
      <c r="H79" s="1026" t="e">
        <f>#REF!-D79</f>
        <v>#REF!</v>
      </c>
      <c r="I79" s="1027">
        <f>'[19]Receita 2009'!$R$223</f>
        <v>8315649.396</v>
      </c>
      <c r="J79" s="1028"/>
      <c r="U79" s="1030">
        <v>8288872.01</v>
      </c>
      <c r="V79" s="1031">
        <f t="shared" si="6"/>
        <v>-3316124.442</v>
      </c>
      <c r="AB79" s="620"/>
      <c r="AF79" s="1034"/>
    </row>
    <row r="80" spans="1:32" s="453" customFormat="1" ht="18" customHeight="1">
      <c r="A80" s="356" t="s">
        <v>485</v>
      </c>
      <c r="B80" s="777">
        <f>B81+B82+B83</f>
        <v>234869992</v>
      </c>
      <c r="C80" s="777">
        <f>C81+C82+C83</f>
        <v>240897096.87</v>
      </c>
      <c r="D80" s="777">
        <f>D81+D82+D83</f>
        <v>32139920.989999995</v>
      </c>
      <c r="E80" s="777">
        <f>E81+E82+E83</f>
        <v>173817004.75</v>
      </c>
      <c r="F80" s="1681">
        <f t="shared" si="4"/>
        <v>72.1540471049347</v>
      </c>
      <c r="G80" s="1682"/>
      <c r="H80" s="777" t="e">
        <f>H81+H82+H83</f>
        <v>#REF!</v>
      </c>
      <c r="I80" s="777">
        <f>I81+I82+I83</f>
        <v>138544797.81</v>
      </c>
      <c r="J80" s="454"/>
      <c r="U80" s="776">
        <f>91881251.1</f>
        <v>91881251.1</v>
      </c>
      <c r="AB80" s="620"/>
      <c r="AF80" s="772"/>
    </row>
    <row r="81" spans="1:32" s="453" customFormat="1" ht="17.25" customHeight="1">
      <c r="A81" s="357" t="s">
        <v>486</v>
      </c>
      <c r="B81" s="774">
        <v>121294118</v>
      </c>
      <c r="C81" s="774">
        <f>B81</f>
        <v>121294118</v>
      </c>
      <c r="D81" s="761">
        <f>E81-'[21]Anexo X _ ENSINO'!E81</f>
        <v>15664037.650000006</v>
      </c>
      <c r="E81" s="774">
        <v>89098523.23</v>
      </c>
      <c r="F81" s="1604">
        <f t="shared" si="4"/>
        <v>73.45659022806036</v>
      </c>
      <c r="G81" s="1605"/>
      <c r="H81" s="767" t="e">
        <f>#REF!-D81</f>
        <v>#REF!</v>
      </c>
      <c r="I81" s="766">
        <f>'[19]Receita 2009'!R110</f>
        <v>79576048.2</v>
      </c>
      <c r="J81" s="454"/>
      <c r="U81" s="773">
        <f>E83</f>
        <v>1088738.56</v>
      </c>
      <c r="W81" s="772">
        <v>35650.37</v>
      </c>
      <c r="AB81" s="620"/>
      <c r="AF81" s="772"/>
    </row>
    <row r="82" spans="1:32" s="453" customFormat="1" ht="17.25" customHeight="1">
      <c r="A82" s="357" t="s">
        <v>487</v>
      </c>
      <c r="B82" s="774">
        <v>110776721</v>
      </c>
      <c r="C82" s="774">
        <v>116803825.87</v>
      </c>
      <c r="D82" s="761">
        <f>E82-'[21]Anexo X _ ENSINO'!E82</f>
        <v>16352646.47999999</v>
      </c>
      <c r="E82" s="774">
        <v>83629742.96</v>
      </c>
      <c r="F82" s="1604">
        <f t="shared" si="4"/>
        <v>71.59846206842401</v>
      </c>
      <c r="G82" s="1605"/>
      <c r="H82" s="767" t="e">
        <f>#REF!-D82</f>
        <v>#REF!</v>
      </c>
      <c r="I82" s="766">
        <f>'[19]Receita 2009'!R111</f>
        <v>58097746.769999996</v>
      </c>
      <c r="J82" s="454"/>
      <c r="U82" s="773">
        <f>U80-U81</f>
        <v>90792512.53999999</v>
      </c>
      <c r="V82" s="775">
        <v>79318129.87</v>
      </c>
      <c r="W82" s="620">
        <f>W81*20%</f>
        <v>7130.0740000000005</v>
      </c>
      <c r="AA82" s="620"/>
      <c r="AC82" s="620"/>
      <c r="AF82" s="772"/>
    </row>
    <row r="83" spans="1:32" s="453" customFormat="1" ht="21.75" customHeight="1">
      <c r="A83" s="357" t="s">
        <v>488</v>
      </c>
      <c r="B83" s="774">
        <v>2799153</v>
      </c>
      <c r="C83" s="774">
        <f>B83</f>
        <v>2799153</v>
      </c>
      <c r="D83" s="761">
        <f>E83-'[21]Anexo X _ ENSINO'!E83</f>
        <v>123236.8600000001</v>
      </c>
      <c r="E83" s="774">
        <v>1088738.56</v>
      </c>
      <c r="F83" s="1679">
        <f t="shared" si="4"/>
        <v>38.89528582396175</v>
      </c>
      <c r="G83" s="1680"/>
      <c r="H83" s="767" t="e">
        <f>#REF!-D83</f>
        <v>#REF!</v>
      </c>
      <c r="I83" s="766">
        <f>'[19]Receita 2009'!$R$56</f>
        <v>871002.8399999999</v>
      </c>
      <c r="J83" s="761">
        <f>K83</f>
        <v>0</v>
      </c>
      <c r="M83" s="774">
        <v>85030.78</v>
      </c>
      <c r="U83" s="773">
        <v>113641806.4</v>
      </c>
      <c r="V83" s="625"/>
      <c r="AB83" s="924"/>
      <c r="AF83" s="772"/>
    </row>
    <row r="84" spans="1:32" s="135" customFormat="1" ht="23.25" customHeight="1">
      <c r="A84" s="360" t="s">
        <v>489</v>
      </c>
      <c r="B84" s="771">
        <f>B81-B73</f>
        <v>-94508540</v>
      </c>
      <c r="C84" s="771">
        <f>C81-C73</f>
        <v>-94508540</v>
      </c>
      <c r="D84" s="771">
        <f>D81-D73</f>
        <v>-7086878.633999988</v>
      </c>
      <c r="E84" s="771">
        <f>E81-E73</f>
        <v>-39013008.70200001</v>
      </c>
      <c r="F84" s="1677">
        <f t="shared" si="4"/>
        <v>41.27987661432502</v>
      </c>
      <c r="G84" s="1678"/>
      <c r="H84" s="770"/>
      <c r="I84" s="724"/>
      <c r="U84" s="762">
        <v>100014</v>
      </c>
      <c r="AF84" s="757"/>
    </row>
    <row r="85" spans="1:32" s="382" customFormat="1" ht="14.25" customHeight="1">
      <c r="A85" s="626"/>
      <c r="B85" s="768"/>
      <c r="C85" s="768"/>
      <c r="D85" s="768"/>
      <c r="E85" s="768"/>
      <c r="F85" s="768"/>
      <c r="G85" s="767"/>
      <c r="H85" s="767"/>
      <c r="I85" s="766"/>
      <c r="U85" s="769">
        <v>331217.09</v>
      </c>
      <c r="AA85" s="820"/>
      <c r="AF85" s="765"/>
    </row>
    <row r="86" ht="12.75">
      <c r="AA86" s="452"/>
    </row>
    <row r="87" ht="12.75">
      <c r="F87" s="602"/>
    </row>
    <row r="88" spans="1:32" s="382" customFormat="1" ht="16.5" customHeight="1">
      <c r="A88" s="626"/>
      <c r="B88" s="768"/>
      <c r="C88" s="768"/>
      <c r="D88" s="768"/>
      <c r="E88" s="768"/>
      <c r="F88" s="768"/>
      <c r="G88" s="767"/>
      <c r="H88" s="767"/>
      <c r="I88" s="766"/>
      <c r="AF88" s="765"/>
    </row>
    <row r="89" spans="1:32" s="382" customFormat="1" ht="16.5" customHeight="1">
      <c r="A89" s="626"/>
      <c r="B89" s="768"/>
      <c r="C89" s="768"/>
      <c r="D89" s="768"/>
      <c r="E89" s="768"/>
      <c r="F89" s="768"/>
      <c r="H89" s="767"/>
      <c r="I89" s="766"/>
      <c r="AF89" s="765"/>
    </row>
    <row r="90" spans="1:32" s="382" customFormat="1" ht="16.5" customHeight="1">
      <c r="A90" s="1587" t="s">
        <v>655</v>
      </c>
      <c r="B90" s="1587"/>
      <c r="C90" s="1587"/>
      <c r="D90" s="1587"/>
      <c r="E90" s="616"/>
      <c r="F90" s="616"/>
      <c r="G90" s="616"/>
      <c r="H90" s="767"/>
      <c r="I90" s="766"/>
      <c r="AF90" s="765"/>
    </row>
    <row r="91" spans="1:32" s="382" customFormat="1" ht="16.5" customHeight="1">
      <c r="A91" s="1587" t="s">
        <v>654</v>
      </c>
      <c r="B91" s="1587"/>
      <c r="C91" s="1587"/>
      <c r="D91" s="1587"/>
      <c r="E91" s="616"/>
      <c r="F91" s="616"/>
      <c r="G91" s="616"/>
      <c r="H91" s="767"/>
      <c r="I91" s="766"/>
      <c r="AF91" s="765"/>
    </row>
    <row r="92" spans="1:32" s="382" customFormat="1" ht="16.5" customHeight="1">
      <c r="A92" s="1588" t="s">
        <v>660</v>
      </c>
      <c r="B92" s="1588"/>
      <c r="C92" s="1588"/>
      <c r="D92" s="1588"/>
      <c r="E92" s="863" t="str">
        <f>'Anexo I_BAL ORC'!H3</f>
        <v>Publicação: Diário Oficial do Município nº 227</v>
      </c>
      <c r="F92" s="616"/>
      <c r="G92" s="616"/>
      <c r="H92" s="767"/>
      <c r="I92" s="766"/>
      <c r="AF92" s="765"/>
    </row>
    <row r="93" spans="1:32" s="382" customFormat="1" ht="16.5" customHeight="1">
      <c r="A93" s="1587" t="s">
        <v>656</v>
      </c>
      <c r="B93" s="1587"/>
      <c r="C93" s="1587"/>
      <c r="D93" s="1587"/>
      <c r="E93" s="863" t="str">
        <f>E4</f>
        <v>Data: 26/11/2012</v>
      </c>
      <c r="F93" s="616"/>
      <c r="G93" s="616"/>
      <c r="H93" s="767"/>
      <c r="I93" s="766"/>
      <c r="AF93" s="765"/>
    </row>
    <row r="94" spans="1:32" s="382" customFormat="1" ht="20.25" customHeight="1">
      <c r="A94" s="1589" t="str">
        <f>A5</f>
        <v>Referência: JANEIRO-OUTUBRO/2012; BIMESTRE: SETEMBRO/OUTUBRO/2012</v>
      </c>
      <c r="B94" s="1589"/>
      <c r="C94" s="616"/>
      <c r="D94" s="616"/>
      <c r="E94" s="616"/>
      <c r="F94" s="616"/>
      <c r="G94" s="616"/>
      <c r="H94" s="767"/>
      <c r="I94" s="766"/>
      <c r="AF94" s="765"/>
    </row>
    <row r="95" spans="1:32" s="382" customFormat="1" ht="22.5" customHeight="1">
      <c r="A95" s="1292" t="s">
        <v>682</v>
      </c>
      <c r="B95" s="873"/>
      <c r="C95" s="873"/>
      <c r="D95" s="874"/>
      <c r="E95" s="874"/>
      <c r="F95" s="874"/>
      <c r="G95" s="906" t="s">
        <v>658</v>
      </c>
      <c r="H95" s="767"/>
      <c r="I95" s="766"/>
      <c r="AF95" s="765"/>
    </row>
    <row r="96" spans="1:32" s="135" customFormat="1" ht="23.25" customHeight="1">
      <c r="A96" s="872" t="s">
        <v>490</v>
      </c>
      <c r="B96" s="565"/>
      <c r="C96" s="565"/>
      <c r="D96" s="1114"/>
      <c r="E96" s="1597"/>
      <c r="F96" s="1597"/>
      <c r="G96" s="1598"/>
      <c r="H96" s="628"/>
      <c r="I96" s="724"/>
      <c r="U96" s="464">
        <f>U83-U84+U85</f>
        <v>113873009.49000001</v>
      </c>
      <c r="AF96" s="757"/>
    </row>
    <row r="97" spans="1:32" s="135" customFormat="1" ht="23.25" customHeight="1">
      <c r="A97" s="627" t="s">
        <v>673</v>
      </c>
      <c r="B97" s="613"/>
      <c r="C97" s="613"/>
      <c r="D97" s="614"/>
      <c r="E97" s="1599">
        <f>E84</f>
        <v>-39013008.70200001</v>
      </c>
      <c r="F97" s="1599"/>
      <c r="G97" s="1600"/>
      <c r="H97" s="628"/>
      <c r="I97" s="724"/>
      <c r="AF97" s="757"/>
    </row>
    <row r="98" spans="1:32" s="382" customFormat="1" ht="16.5" customHeight="1">
      <c r="A98" s="569"/>
      <c r="B98" s="570"/>
      <c r="C98" s="570"/>
      <c r="D98" s="383"/>
      <c r="E98" s="383"/>
      <c r="F98" s="383"/>
      <c r="G98" s="1115"/>
      <c r="H98" s="767"/>
      <c r="I98" s="766"/>
      <c r="AF98" s="765"/>
    </row>
    <row r="99" spans="1:32" s="135" customFormat="1" ht="13.5" customHeight="1">
      <c r="A99" s="1601" t="s">
        <v>491</v>
      </c>
      <c r="B99" s="1594" t="s">
        <v>492</v>
      </c>
      <c r="C99" s="1594" t="s">
        <v>493</v>
      </c>
      <c r="D99" s="1606" t="s">
        <v>287</v>
      </c>
      <c r="E99" s="1606"/>
      <c r="F99" s="1606"/>
      <c r="G99" s="1607"/>
      <c r="H99" s="383"/>
      <c r="I99" s="724"/>
      <c r="AF99" s="757"/>
    </row>
    <row r="100" spans="1:32" s="135" customFormat="1" ht="21.75" customHeight="1">
      <c r="A100" s="1601"/>
      <c r="B100" s="1594"/>
      <c r="C100" s="1594"/>
      <c r="D100" s="803" t="s">
        <v>122</v>
      </c>
      <c r="E100" s="803" t="s">
        <v>437</v>
      </c>
      <c r="F100" s="1602" t="s">
        <v>623</v>
      </c>
      <c r="G100" s="1116" t="s">
        <v>119</v>
      </c>
      <c r="H100" s="276"/>
      <c r="I100" s="724"/>
      <c r="AF100" s="757"/>
    </row>
    <row r="101" spans="1:32" s="135" customFormat="1" ht="13.5" customHeight="1">
      <c r="A101" s="1601"/>
      <c r="B101" s="804"/>
      <c r="C101" s="804" t="s">
        <v>330</v>
      </c>
      <c r="D101" s="804"/>
      <c r="E101" s="804" t="s">
        <v>494</v>
      </c>
      <c r="F101" s="1603"/>
      <c r="G101" s="1117" t="s">
        <v>495</v>
      </c>
      <c r="H101" s="574"/>
      <c r="I101" s="724"/>
      <c r="AF101" s="757"/>
    </row>
    <row r="102" spans="1:32" s="135" customFormat="1" ht="15" customHeight="1">
      <c r="A102" s="629" t="s">
        <v>496</v>
      </c>
      <c r="B102" s="805">
        <f>B103+B104</f>
        <v>179783700</v>
      </c>
      <c r="C102" s="805">
        <f>C103+C104</f>
        <v>179783700</v>
      </c>
      <c r="D102" s="805">
        <f>D103+D104</f>
        <v>30335755.290000007</v>
      </c>
      <c r="E102" s="805">
        <f>E103+E104</f>
        <v>130425982.76</v>
      </c>
      <c r="F102" s="805">
        <f>F103+F104</f>
        <v>0</v>
      </c>
      <c r="G102" s="1118">
        <f aca="true" t="shared" si="7" ref="G102:G108">(E102/C102)*100</f>
        <v>72.54605548778895</v>
      </c>
      <c r="H102" s="722"/>
      <c r="I102" s="724"/>
      <c r="J102" s="757">
        <v>17666925.21</v>
      </c>
      <c r="M102" s="757">
        <f>D102-J102</f>
        <v>12668830.080000006</v>
      </c>
      <c r="U102" s="595">
        <f>E80-E108</f>
        <v>-10315362.25999999</v>
      </c>
      <c r="AF102" s="757"/>
    </row>
    <row r="103" spans="1:32" s="135" customFormat="1" ht="21" customHeight="1">
      <c r="A103" s="630" t="s">
        <v>497</v>
      </c>
      <c r="B103" s="806">
        <v>30200400</v>
      </c>
      <c r="C103" s="806">
        <f>B103</f>
        <v>30200400</v>
      </c>
      <c r="D103" s="761">
        <f>E103-'[21]Anexo X _ ENSINO'!E103</f>
        <v>7908548.780000001</v>
      </c>
      <c r="E103" s="796">
        <v>22306981.37</v>
      </c>
      <c r="F103" s="806">
        <v>0</v>
      </c>
      <c r="G103" s="1119">
        <f t="shared" si="7"/>
        <v>73.86319840134567</v>
      </c>
      <c r="H103" s="722"/>
      <c r="I103" s="724"/>
      <c r="J103" s="764">
        <f>2102180.86</f>
        <v>2102180.86</v>
      </c>
      <c r="M103" s="764">
        <f>332660.68</f>
        <v>332660.68</v>
      </c>
      <c r="O103" s="757">
        <v>568943.58</v>
      </c>
      <c r="V103" s="464">
        <f>V104-E104</f>
        <v>-54770397.31</v>
      </c>
      <c r="AD103" s="757"/>
      <c r="AF103" s="757"/>
    </row>
    <row r="104" spans="1:32" s="135" customFormat="1" ht="17.25" customHeight="1">
      <c r="A104" s="630" t="s">
        <v>498</v>
      </c>
      <c r="B104" s="806">
        <v>149583300</v>
      </c>
      <c r="C104" s="806">
        <v>149583300</v>
      </c>
      <c r="D104" s="761">
        <f>E104-'[21]Anexo X _ ENSINO'!E104</f>
        <v>22427206.510000005</v>
      </c>
      <c r="E104" s="796">
        <v>108119001.39</v>
      </c>
      <c r="F104" s="806">
        <v>0</v>
      </c>
      <c r="G104" s="1119">
        <f t="shared" si="7"/>
        <v>72.28012845685315</v>
      </c>
      <c r="H104" s="722"/>
      <c r="I104" s="724"/>
      <c r="J104" s="764">
        <f>15798582.58</f>
        <v>15798582.58</v>
      </c>
      <c r="M104" s="764">
        <f>O103</f>
        <v>568943.58</v>
      </c>
      <c r="O104" s="763">
        <v>531661.22</v>
      </c>
      <c r="U104" s="464">
        <f>E104+E107</f>
        <v>153772425.9</v>
      </c>
      <c r="V104" s="464">
        <v>53348604.08</v>
      </c>
      <c r="W104" s="464">
        <f>V104-U104</f>
        <v>-100423821.82000001</v>
      </c>
      <c r="X104" s="464"/>
      <c r="Y104" s="464"/>
      <c r="AF104" s="757"/>
    </row>
    <row r="105" spans="1:32" s="135" customFormat="1" ht="16.5" customHeight="1">
      <c r="A105" s="629" t="s">
        <v>499</v>
      </c>
      <c r="B105" s="805">
        <f>B106+B107</f>
        <v>55086292</v>
      </c>
      <c r="C105" s="805">
        <f>C106+C107</f>
        <v>55086292</v>
      </c>
      <c r="D105" s="805">
        <f>D106+D107</f>
        <v>20843491.089999996</v>
      </c>
      <c r="E105" s="805">
        <f>E106+E107</f>
        <v>53706384.25</v>
      </c>
      <c r="F105" s="805">
        <f>F106+F107</f>
        <v>0</v>
      </c>
      <c r="G105" s="1119">
        <f t="shared" si="7"/>
        <v>97.49500701553846</v>
      </c>
      <c r="H105" s="722"/>
      <c r="I105" s="724"/>
      <c r="J105" s="757">
        <f>J102-J103-J104</f>
        <v>-233838.22999999858</v>
      </c>
      <c r="K105" s="757">
        <f>K102-K103-K104</f>
        <v>0</v>
      </c>
      <c r="L105" s="757">
        <f>L102-L103-L104</f>
        <v>0</v>
      </c>
      <c r="M105" s="757">
        <f>M102-M103-M104</f>
        <v>11767225.820000006</v>
      </c>
      <c r="U105" s="464"/>
      <c r="V105" s="464"/>
      <c r="W105" s="464"/>
      <c r="X105" s="464"/>
      <c r="Y105" s="464"/>
      <c r="AF105" s="757"/>
    </row>
    <row r="106" spans="1:32" s="135" customFormat="1" ht="15" customHeight="1">
      <c r="A106" s="630" t="s">
        <v>500</v>
      </c>
      <c r="B106" s="806">
        <v>19860500</v>
      </c>
      <c r="C106" s="806">
        <f>B106</f>
        <v>19860500</v>
      </c>
      <c r="D106" s="761">
        <f>E106-'[21]Anexo X _ ENSINO'!E106</f>
        <v>4063426.6100000003</v>
      </c>
      <c r="E106" s="806">
        <v>8052959.74</v>
      </c>
      <c r="F106" s="806">
        <v>0</v>
      </c>
      <c r="G106" s="1119">
        <f t="shared" si="7"/>
        <v>40.547618337906904</v>
      </c>
      <c r="H106" s="722"/>
      <c r="I106" s="724"/>
      <c r="U106" s="464"/>
      <c r="V106" s="464"/>
      <c r="W106" s="464"/>
      <c r="X106" s="464"/>
      <c r="Y106" s="464"/>
      <c r="AC106" s="762"/>
      <c r="AF106" s="757"/>
    </row>
    <row r="107" spans="1:32" s="135" customFormat="1" ht="17.25" customHeight="1">
      <c r="A107" s="630" t="s">
        <v>501</v>
      </c>
      <c r="B107" s="806">
        <v>35225792</v>
      </c>
      <c r="C107" s="806">
        <f>B107</f>
        <v>35225792</v>
      </c>
      <c r="D107" s="761">
        <f>E107-'[21]Anexo X _ ENSINO'!E107</f>
        <v>16780064.479999997</v>
      </c>
      <c r="E107" s="806">
        <v>45653424.51</v>
      </c>
      <c r="F107" s="806">
        <v>0</v>
      </c>
      <c r="G107" s="1119">
        <f t="shared" si="7"/>
        <v>129.60226560697345</v>
      </c>
      <c r="H107" s="722"/>
      <c r="I107" s="724"/>
      <c r="U107" s="464">
        <f>65323380.46-U104</f>
        <v>-88449045.44</v>
      </c>
      <c r="V107" s="464"/>
      <c r="W107" s="464"/>
      <c r="X107" s="464"/>
      <c r="Y107" s="464"/>
      <c r="AB107" s="197"/>
      <c r="AC107" s="850"/>
      <c r="AF107" s="757"/>
    </row>
    <row r="108" spans="1:32" s="632" customFormat="1" ht="20.25" customHeight="1">
      <c r="A108" s="631" t="s">
        <v>699</v>
      </c>
      <c r="B108" s="1300">
        <f>B102+B105</f>
        <v>234869992</v>
      </c>
      <c r="C108" s="1300">
        <f>C102+C105</f>
        <v>234869992</v>
      </c>
      <c r="D108" s="1300">
        <f>D102+D105</f>
        <v>51179246.38</v>
      </c>
      <c r="E108" s="1608">
        <f>E102+E105+F105</f>
        <v>184132367.01</v>
      </c>
      <c r="F108" s="1609"/>
      <c r="G108" s="1301">
        <f t="shared" si="7"/>
        <v>78.39757026517036</v>
      </c>
      <c r="H108" s="759"/>
      <c r="I108" s="758"/>
      <c r="P108" s="632">
        <f>E108/E80</f>
        <v>1.0593461052607396</v>
      </c>
      <c r="U108" s="464">
        <f>U104+U107</f>
        <v>65323380.46000001</v>
      </c>
      <c r="V108" s="464">
        <f>U108-E108</f>
        <v>-118808986.54999998</v>
      </c>
      <c r="W108" s="464">
        <f>E81</f>
        <v>89098523.23</v>
      </c>
      <c r="X108" s="464"/>
      <c r="Y108" s="464"/>
      <c r="AC108" s="814"/>
      <c r="AF108" s="757"/>
    </row>
    <row r="109" spans="1:29" ht="12.75">
      <c r="A109" s="708"/>
      <c r="B109" s="708"/>
      <c r="C109" s="708"/>
      <c r="D109" s="708"/>
      <c r="E109" s="708"/>
      <c r="F109" s="708"/>
      <c r="G109" s="1285"/>
      <c r="U109" s="456">
        <f>U108-E108</f>
        <v>-118808986.54999998</v>
      </c>
      <c r="W109" s="602">
        <f>E104+E107</f>
        <v>153772425.9</v>
      </c>
      <c r="AC109" s="602"/>
    </row>
    <row r="110" spans="1:17" ht="12.75">
      <c r="A110" s="340"/>
      <c r="G110" s="1284"/>
      <c r="H110" s="572"/>
      <c r="Q110" s="747">
        <v>725519.68</v>
      </c>
    </row>
    <row r="111" spans="1:17" ht="19.5" customHeight="1">
      <c r="A111" s="1596" t="s">
        <v>502</v>
      </c>
      <c r="B111" s="1596"/>
      <c r="C111" s="1596"/>
      <c r="D111" s="1596"/>
      <c r="E111" s="1596"/>
      <c r="F111" s="756"/>
      <c r="G111" s="1120" t="s">
        <v>300</v>
      </c>
      <c r="H111" s="572"/>
      <c r="Q111" s="747">
        <v>93231.45</v>
      </c>
    </row>
    <row r="112" spans="1:17" ht="20.25" customHeight="1">
      <c r="A112" s="1612" t="s">
        <v>503</v>
      </c>
      <c r="B112" s="1612"/>
      <c r="C112" s="1612"/>
      <c r="D112" s="1612"/>
      <c r="E112" s="1612"/>
      <c r="F112" s="755"/>
      <c r="G112" s="1121">
        <v>0</v>
      </c>
      <c r="H112" s="572"/>
      <c r="Q112" s="747">
        <f>SUM(Q110:Q111)</f>
        <v>818751.13</v>
      </c>
    </row>
    <row r="113" spans="1:32" ht="18" customHeight="1">
      <c r="A113" s="1613" t="s">
        <v>504</v>
      </c>
      <c r="B113" s="1613"/>
      <c r="C113" s="1613"/>
      <c r="D113" s="1613"/>
      <c r="E113" s="1613"/>
      <c r="F113" s="1295"/>
      <c r="G113" s="1295">
        <v>6027104.87</v>
      </c>
      <c r="H113" s="1188"/>
      <c r="Q113" s="1019">
        <f>E160</f>
        <v>11651347.09</v>
      </c>
      <c r="U113" s="452">
        <f>W179</f>
        <v>-1302371.46</v>
      </c>
      <c r="AF113" s="1019"/>
    </row>
    <row r="114" spans="1:32" ht="18.75" customHeight="1">
      <c r="A114" s="1612" t="s">
        <v>505</v>
      </c>
      <c r="B114" s="1612"/>
      <c r="C114" s="1612"/>
      <c r="D114" s="1612"/>
      <c r="E114" s="1612"/>
      <c r="F114" s="1296"/>
      <c r="G114" s="1299">
        <f>G112+G113</f>
        <v>6027104.87</v>
      </c>
      <c r="H114" s="572"/>
      <c r="Q114" s="1019">
        <f>Q112+Q113</f>
        <v>12470098.22</v>
      </c>
      <c r="AA114" s="1294" t="s">
        <v>782</v>
      </c>
      <c r="AF114" s="1019"/>
    </row>
    <row r="115" spans="1:29" ht="19.5" customHeight="1">
      <c r="A115" s="1612" t="s">
        <v>506</v>
      </c>
      <c r="B115" s="1612"/>
      <c r="C115" s="1612"/>
      <c r="D115" s="1612"/>
      <c r="E115" s="1612"/>
      <c r="F115" s="754"/>
      <c r="G115" s="1192">
        <f>(E102-G114)/E80*100</f>
        <v>71.56887674420705</v>
      </c>
      <c r="H115" s="572"/>
      <c r="U115" s="340">
        <v>60</v>
      </c>
      <c r="AC115" s="602"/>
    </row>
    <row r="116" spans="1:21" ht="19.5" customHeight="1">
      <c r="A116" s="1596" t="s">
        <v>507</v>
      </c>
      <c r="B116" s="1596"/>
      <c r="C116" s="1596"/>
      <c r="D116" s="1596"/>
      <c r="E116" s="1403" t="s">
        <v>300</v>
      </c>
      <c r="F116" s="1403"/>
      <c r="G116" s="1404"/>
      <c r="H116" s="572"/>
      <c r="U116" s="602">
        <f>G115-U115</f>
        <v>11.568876744207046</v>
      </c>
    </row>
    <row r="117" spans="1:29" ht="20.25" customHeight="1">
      <c r="A117" s="1612" t="s">
        <v>508</v>
      </c>
      <c r="B117" s="1612"/>
      <c r="C117" s="1612"/>
      <c r="D117" s="1612"/>
      <c r="E117" s="1619">
        <v>10332391.84</v>
      </c>
      <c r="F117" s="1620"/>
      <c r="G117" s="1621"/>
      <c r="H117" s="572"/>
      <c r="P117" s="728">
        <v>7630932.050000008</v>
      </c>
      <c r="U117" s="602">
        <f>100-G115</f>
        <v>28.431123255792954</v>
      </c>
      <c r="AC117" s="602"/>
    </row>
    <row r="118" spans="1:32" ht="20.25" customHeight="1">
      <c r="A118" s="1622" t="s">
        <v>788</v>
      </c>
      <c r="B118" s="1622"/>
      <c r="C118" s="1622"/>
      <c r="D118" s="1622"/>
      <c r="E118" s="1614">
        <v>2288731.24</v>
      </c>
      <c r="F118" s="1615"/>
      <c r="G118" s="1616"/>
      <c r="H118" s="572"/>
      <c r="J118" s="456">
        <f>E117-E118</f>
        <v>8043660.6</v>
      </c>
      <c r="U118" s="602">
        <f>E117-E118</f>
        <v>8043660.6</v>
      </c>
      <c r="AC118" s="602"/>
      <c r="AF118" s="1019"/>
    </row>
    <row r="119" spans="1:32" s="276" customFormat="1" ht="20.25" customHeight="1">
      <c r="A119" s="1624" t="s">
        <v>509</v>
      </c>
      <c r="B119" s="1624"/>
      <c r="C119" s="1624"/>
      <c r="D119" s="1624"/>
      <c r="E119" s="1624"/>
      <c r="F119" s="1624"/>
      <c r="G119" s="1625"/>
      <c r="H119" s="362"/>
      <c r="I119" s="722"/>
      <c r="AF119" s="723"/>
    </row>
    <row r="120" spans="1:32" s="276" customFormat="1" ht="18" customHeight="1">
      <c r="A120" s="363"/>
      <c r="B120" s="239" t="s">
        <v>510</v>
      </c>
      <c r="C120" s="239" t="s">
        <v>510</v>
      </c>
      <c r="D120" s="1450" t="s">
        <v>244</v>
      </c>
      <c r="E120" s="1544"/>
      <c r="F120" s="1544"/>
      <c r="G120" s="1623"/>
      <c r="H120" s="364"/>
      <c r="I120" s="722"/>
      <c r="AF120" s="723"/>
    </row>
    <row r="121" spans="1:32" s="276" customFormat="1" ht="18" customHeight="1">
      <c r="A121" s="365" t="s">
        <v>511</v>
      </c>
      <c r="B121" s="366" t="s">
        <v>288</v>
      </c>
      <c r="C121" s="366" t="s">
        <v>289</v>
      </c>
      <c r="D121" s="239" t="s">
        <v>122</v>
      </c>
      <c r="E121" s="239" t="s">
        <v>123</v>
      </c>
      <c r="F121" s="367"/>
      <c r="G121" s="1122" t="s">
        <v>119</v>
      </c>
      <c r="H121" s="364"/>
      <c r="I121" s="722"/>
      <c r="U121" s="723">
        <v>764196</v>
      </c>
      <c r="AF121" s="723"/>
    </row>
    <row r="122" spans="1:21" ht="18" customHeight="1">
      <c r="A122" s="368"/>
      <c r="B122" s="369"/>
      <c r="C122" s="241" t="s">
        <v>125</v>
      </c>
      <c r="D122" s="369"/>
      <c r="E122" s="241" t="s">
        <v>126</v>
      </c>
      <c r="F122" s="370"/>
      <c r="G122" s="1123" t="s">
        <v>512</v>
      </c>
      <c r="H122" s="364"/>
      <c r="U122" s="721">
        <f>2982026.04+849765.09+138347.14+332532+1664579.47</f>
        <v>5967249.739999999</v>
      </c>
    </row>
    <row r="123" spans="1:32" s="447" customFormat="1" ht="18" customHeight="1">
      <c r="A123" s="371" t="s">
        <v>652</v>
      </c>
      <c r="B123" s="821">
        <f>25%*B53</f>
        <v>444827448</v>
      </c>
      <c r="C123" s="821">
        <f>25%*C53</f>
        <v>444836298</v>
      </c>
      <c r="D123" s="821">
        <f>25%*D53</f>
        <v>48668704.01</v>
      </c>
      <c r="E123" s="821">
        <f>25%*E53</f>
        <v>265867622.3</v>
      </c>
      <c r="F123" s="578"/>
      <c r="G123" s="1124">
        <f>E123/C123*100</f>
        <v>59.76751975847079</v>
      </c>
      <c r="H123" s="753"/>
      <c r="I123" s="731"/>
      <c r="U123" s="448">
        <f>SUM(U121:U122)</f>
        <v>6731445.739999999</v>
      </c>
      <c r="AF123" s="721"/>
    </row>
    <row r="124" spans="1:29" ht="18" customHeight="1">
      <c r="A124" s="247"/>
      <c r="B124" s="239" t="s">
        <v>286</v>
      </c>
      <c r="C124" s="239" t="s">
        <v>286</v>
      </c>
      <c r="D124" s="1450" t="s">
        <v>287</v>
      </c>
      <c r="E124" s="1544"/>
      <c r="F124" s="1544"/>
      <c r="G124" s="1623"/>
      <c r="H124" s="364"/>
      <c r="U124" s="752">
        <v>6731445.74</v>
      </c>
      <c r="AC124" s="602"/>
    </row>
    <row r="125" spans="1:21" ht="18" customHeight="1">
      <c r="A125" s="364" t="s">
        <v>513</v>
      </c>
      <c r="B125" s="366" t="s">
        <v>288</v>
      </c>
      <c r="C125" s="366" t="s">
        <v>289</v>
      </c>
      <c r="D125" s="239" t="s">
        <v>122</v>
      </c>
      <c r="E125" s="239" t="s">
        <v>123</v>
      </c>
      <c r="F125" s="1610" t="s">
        <v>623</v>
      </c>
      <c r="G125" s="1122" t="s">
        <v>119</v>
      </c>
      <c r="H125" s="364"/>
      <c r="U125" s="748">
        <f>U124-U123</f>
        <v>0</v>
      </c>
    </row>
    <row r="126" spans="1:29" ht="18" customHeight="1">
      <c r="A126" s="633"/>
      <c r="B126" s="369"/>
      <c r="C126" s="241" t="s">
        <v>494</v>
      </c>
      <c r="D126" s="369"/>
      <c r="E126" s="241" t="s">
        <v>514</v>
      </c>
      <c r="F126" s="1611"/>
      <c r="G126" s="1123" t="s">
        <v>515</v>
      </c>
      <c r="H126" s="364"/>
      <c r="V126" s="751">
        <f>E129+E132</f>
        <v>81989585.86000001</v>
      </c>
      <c r="W126" s="452">
        <f>E141</f>
        <v>-39013008.70200001</v>
      </c>
      <c r="X126" s="602">
        <f>V126+W126</f>
        <v>42976577.15800001</v>
      </c>
      <c r="AC126" s="602"/>
    </row>
    <row r="127" spans="1:32" s="447" customFormat="1" ht="18" customHeight="1">
      <c r="A127" s="634" t="s">
        <v>516</v>
      </c>
      <c r="B127" s="750">
        <f>B128+B129</f>
        <v>74260141</v>
      </c>
      <c r="C127" s="750">
        <f>C128+C129</f>
        <v>74260141</v>
      </c>
      <c r="D127" s="750">
        <f>D128+D129</f>
        <v>13126156.690000001</v>
      </c>
      <c r="E127" s="749">
        <f>E128+E129</f>
        <v>33575695.04</v>
      </c>
      <c r="F127" s="749">
        <f>F128+F129</f>
        <v>0</v>
      </c>
      <c r="G127" s="1125">
        <f aca="true" t="shared" si="8" ref="G127:G132">E127/C127*100</f>
        <v>45.21361606356228</v>
      </c>
      <c r="H127" s="741"/>
      <c r="I127" s="731"/>
      <c r="Q127" s="447" t="s">
        <v>597</v>
      </c>
      <c r="R127" s="447" t="s">
        <v>598</v>
      </c>
      <c r="T127" s="447">
        <v>23</v>
      </c>
      <c r="U127" s="748">
        <v>91406979.32</v>
      </c>
      <c r="V127" s="447" t="s">
        <v>616</v>
      </c>
      <c r="AB127" s="448"/>
      <c r="AC127" s="602"/>
      <c r="AF127" s="721"/>
    </row>
    <row r="128" spans="1:30" ht="18" customHeight="1">
      <c r="A128" s="635" t="s">
        <v>517</v>
      </c>
      <c r="B128" s="795">
        <f>B103+B106</f>
        <v>50060900</v>
      </c>
      <c r="C128" s="795">
        <f>C103+C106</f>
        <v>50060900</v>
      </c>
      <c r="D128" s="795">
        <f>D103+D106</f>
        <v>11971975.39</v>
      </c>
      <c r="E128" s="795">
        <f>E103+E106</f>
        <v>30359941.11</v>
      </c>
      <c r="F128" s="795">
        <f>F103+F106</f>
        <v>0</v>
      </c>
      <c r="G128" s="1126">
        <f t="shared" si="8"/>
        <v>60.646015373275354</v>
      </c>
      <c r="H128" s="742"/>
      <c r="Q128" s="728">
        <v>29666653.92</v>
      </c>
      <c r="R128" s="747">
        <v>32507644.76</v>
      </c>
      <c r="S128" s="728">
        <v>41700482.96</v>
      </c>
      <c r="U128" s="603">
        <f>E129+E132</f>
        <v>81989585.86000001</v>
      </c>
      <c r="V128" s="340" t="s">
        <v>615</v>
      </c>
      <c r="AA128" s="452"/>
      <c r="AC128" s="602"/>
      <c r="AD128" s="602"/>
    </row>
    <row r="129" spans="1:29" ht="18" customHeight="1">
      <c r="A129" s="635" t="s">
        <v>518</v>
      </c>
      <c r="B129" s="795">
        <v>24199241</v>
      </c>
      <c r="C129" s="795">
        <f>B129</f>
        <v>24199241</v>
      </c>
      <c r="D129" s="761">
        <f>E129-'[21]Anexo X _ ENSINO'!E129</f>
        <v>1154181.3000000003</v>
      </c>
      <c r="E129" s="795">
        <v>3215753.93</v>
      </c>
      <c r="F129" s="795">
        <v>0</v>
      </c>
      <c r="G129" s="1126">
        <f t="shared" si="8"/>
        <v>13.288656160744877</v>
      </c>
      <c r="H129" s="742"/>
      <c r="Q129" s="447" t="s">
        <v>599</v>
      </c>
      <c r="R129" s="728">
        <f>S129</f>
        <v>9192838.2</v>
      </c>
      <c r="S129" s="456">
        <f>S128-R128</f>
        <v>9192838.2</v>
      </c>
      <c r="U129" s="604">
        <f>U127-U128</f>
        <v>9417393.459999979</v>
      </c>
      <c r="AB129" s="452"/>
      <c r="AC129" s="602"/>
    </row>
    <row r="130" spans="1:32" s="447" customFormat="1" ht="18" customHeight="1">
      <c r="A130" s="636" t="s">
        <v>519</v>
      </c>
      <c r="B130" s="797">
        <f>B131+B132</f>
        <v>391953917</v>
      </c>
      <c r="C130" s="797">
        <f>C131+C132</f>
        <v>397981021.87</v>
      </c>
      <c r="D130" s="797">
        <f>D131+D132</f>
        <v>61889090.75000001</v>
      </c>
      <c r="E130" s="798">
        <f>E131+E132</f>
        <v>232546257.83</v>
      </c>
      <c r="F130" s="798">
        <f>F131+F132</f>
        <v>0</v>
      </c>
      <c r="G130" s="1127">
        <f t="shared" si="8"/>
        <v>58.4314942298834</v>
      </c>
      <c r="H130" s="741"/>
      <c r="I130" s="731"/>
      <c r="R130" s="746">
        <f>Q143</f>
        <v>184132367.01</v>
      </c>
      <c r="T130" s="447">
        <v>24</v>
      </c>
      <c r="U130" s="609">
        <f>E137+E141-E143</f>
        <v>226020205.60799998</v>
      </c>
      <c r="V130" s="610">
        <f>-E141</f>
        <v>39013008.70200001</v>
      </c>
      <c r="W130" s="610">
        <f>U143</f>
        <v>1088738.56</v>
      </c>
      <c r="AB130" s="448"/>
      <c r="AC130" s="602"/>
      <c r="AF130" s="728"/>
    </row>
    <row r="131" spans="1:29" ht="18" customHeight="1">
      <c r="A131" s="635" t="s">
        <v>520</v>
      </c>
      <c r="B131" s="795">
        <f>B104+B107</f>
        <v>184809092</v>
      </c>
      <c r="C131" s="795">
        <v>190836196.87</v>
      </c>
      <c r="D131" s="795">
        <f>D104+D107</f>
        <v>39207270.99</v>
      </c>
      <c r="E131" s="795">
        <f>E104+E107</f>
        <v>153772425.9</v>
      </c>
      <c r="F131" s="795">
        <f>F104+F107</f>
        <v>0</v>
      </c>
      <c r="G131" s="1126">
        <f t="shared" si="8"/>
        <v>80.57822804169153</v>
      </c>
      <c r="H131" s="742"/>
      <c r="R131" s="728">
        <f>SUM(R128:R130)</f>
        <v>225832849.97</v>
      </c>
      <c r="S131" s="456">
        <f>R131+E141</f>
        <v>186819841.268</v>
      </c>
      <c r="U131" s="449">
        <f>E131+E128</f>
        <v>184132367.01</v>
      </c>
      <c r="V131" s="456">
        <f>U108</f>
        <v>65323380.46000001</v>
      </c>
      <c r="W131" s="456">
        <f>V131-U131</f>
        <v>-118808986.54999998</v>
      </c>
      <c r="AB131" s="602"/>
      <c r="AC131" s="745"/>
    </row>
    <row r="132" spans="1:31" ht="21.75" customHeight="1">
      <c r="A132" s="635" t="s">
        <v>521</v>
      </c>
      <c r="B132" s="795">
        <v>207144825</v>
      </c>
      <c r="C132" s="795">
        <f>B132</f>
        <v>207144825</v>
      </c>
      <c r="D132" s="761">
        <f>E132-'[21]Anexo X _ ENSINO'!E132</f>
        <v>22681819.760000005</v>
      </c>
      <c r="E132" s="795">
        <v>78773831.93</v>
      </c>
      <c r="F132" s="799">
        <v>0</v>
      </c>
      <c r="G132" s="1126">
        <f t="shared" si="8"/>
        <v>38.02838517930632</v>
      </c>
      <c r="H132" s="742"/>
      <c r="P132" s="457">
        <f>E132+E129</f>
        <v>81989585.86000001</v>
      </c>
      <c r="S132" s="456">
        <f>S131-S146</f>
        <v>175168494.178</v>
      </c>
      <c r="U132" s="597">
        <f>U131+U130</f>
        <v>410152572.618</v>
      </c>
      <c r="AA132" s="452"/>
      <c r="AB132" s="602"/>
      <c r="AC132" s="742"/>
      <c r="AE132" s="721"/>
    </row>
    <row r="133" spans="1:32" s="447" customFormat="1" ht="18" customHeight="1">
      <c r="A133" s="636" t="s">
        <v>522</v>
      </c>
      <c r="B133" s="797"/>
      <c r="C133" s="797"/>
      <c r="D133" s="797"/>
      <c r="E133" s="798"/>
      <c r="F133" s="800"/>
      <c r="G133" s="1126">
        <v>0</v>
      </c>
      <c r="H133" s="742"/>
      <c r="I133" s="731"/>
      <c r="P133" s="457">
        <f>41700482.96</f>
        <v>41700482.96</v>
      </c>
      <c r="S133" s="448">
        <f>S132-E143</f>
        <v>174079755.618</v>
      </c>
      <c r="U133" s="598">
        <f>'[20]Anexo II_DP FUNC'!H59</f>
        <v>184914556.92999998</v>
      </c>
      <c r="AC133" s="744"/>
      <c r="AE133" s="596"/>
      <c r="AF133" s="721"/>
    </row>
    <row r="134" spans="1:32" s="447" customFormat="1" ht="17.25" customHeight="1">
      <c r="A134" s="636" t="s">
        <v>523</v>
      </c>
      <c r="B134" s="797"/>
      <c r="C134" s="797"/>
      <c r="D134" s="797"/>
      <c r="E134" s="798"/>
      <c r="F134" s="800"/>
      <c r="G134" s="1126">
        <v>0</v>
      </c>
      <c r="H134" s="742"/>
      <c r="I134" s="731"/>
      <c r="P134" s="457">
        <f>P133-P132</f>
        <v>-40289102.90000001</v>
      </c>
      <c r="R134" s="728">
        <f>427743.34+4880861.75+1389412.18</f>
        <v>6698017.27</v>
      </c>
      <c r="U134" s="599">
        <f>U133-E137</f>
        <v>-81207395.94000003</v>
      </c>
      <c r="AB134" s="448"/>
      <c r="AC134" s="742"/>
      <c r="AF134" s="721"/>
    </row>
    <row r="135" spans="1:32" s="447" customFormat="1" ht="17.25" customHeight="1">
      <c r="A135" s="636" t="s">
        <v>524</v>
      </c>
      <c r="B135" s="797"/>
      <c r="C135" s="797"/>
      <c r="D135" s="797"/>
      <c r="E135" s="798"/>
      <c r="F135" s="800"/>
      <c r="G135" s="1126">
        <v>0</v>
      </c>
      <c r="H135" s="742"/>
      <c r="I135" s="731"/>
      <c r="J135" s="448">
        <f>E137-'[16]Anexo II_DP FUNC'!H58</f>
        <v>189053608.78000003</v>
      </c>
      <c r="M135" s="449">
        <v>2448232.24</v>
      </c>
      <c r="N135" s="449">
        <f>J135-M135</f>
        <v>186605376.54000002</v>
      </c>
      <c r="U135" s="600">
        <f>E137</f>
        <v>266121952.87</v>
      </c>
      <c r="AC135" s="601"/>
      <c r="AD135" s="743"/>
      <c r="AF135" s="721"/>
    </row>
    <row r="136" spans="1:32" s="447" customFormat="1" ht="18.75" customHeight="1">
      <c r="A136" s="866" t="s">
        <v>525</v>
      </c>
      <c r="B136" s="797">
        <v>236000</v>
      </c>
      <c r="C136" s="797">
        <f>B136</f>
        <v>236000</v>
      </c>
      <c r="D136" s="761">
        <f>E136-'[21]Anexo X _ ENSINO'!E136</f>
        <v>0</v>
      </c>
      <c r="E136" s="900">
        <v>0</v>
      </c>
      <c r="F136" s="800"/>
      <c r="G136" s="1126">
        <v>0</v>
      </c>
      <c r="H136" s="742"/>
      <c r="I136" s="731"/>
      <c r="S136" s="448">
        <f>S128</f>
        <v>41700482.96</v>
      </c>
      <c r="U136" s="600">
        <f>X137</f>
        <v>156110807.36</v>
      </c>
      <c r="AC136" s="602"/>
      <c r="AD136" s="596"/>
      <c r="AF136" s="721"/>
    </row>
    <row r="137" spans="1:32" s="447" customFormat="1" ht="21.75" customHeight="1">
      <c r="A137" s="866" t="s">
        <v>526</v>
      </c>
      <c r="B137" s="801">
        <f>B127+B130+B133+B134+B135+B136</f>
        <v>466450058</v>
      </c>
      <c r="C137" s="801">
        <f>C127+C130+C133+C134+C135+C136</f>
        <v>472477162.87</v>
      </c>
      <c r="D137" s="801">
        <f>D127+D130+D133+D134+D135+D136</f>
        <v>75015247.44000001</v>
      </c>
      <c r="E137" s="802">
        <f>E127+E130+E133+E134+E135+E136</f>
        <v>266121952.87</v>
      </c>
      <c r="F137" s="802">
        <f>F127+F130+F133+F134+F135+F136</f>
        <v>0</v>
      </c>
      <c r="G137" s="1128">
        <f>E137/C137*100</f>
        <v>56.32482875012994</v>
      </c>
      <c r="H137" s="741">
        <f>12026843.4+19334028.92</f>
        <v>31360872.32</v>
      </c>
      <c r="I137" s="731"/>
      <c r="J137" s="448">
        <f>J149-J148</f>
        <v>1136799.1920000166</v>
      </c>
      <c r="K137" s="449">
        <f>E137-J137</f>
        <v>264985153.67799997</v>
      </c>
      <c r="L137" s="449">
        <f>K137-E160</f>
        <v>253333806.58799997</v>
      </c>
      <c r="N137" s="449">
        <f>E137-J137</f>
        <v>264985153.67799997</v>
      </c>
      <c r="S137" s="448">
        <f>S146</f>
        <v>11651347.09</v>
      </c>
      <c r="U137" s="599">
        <f>U135-U136</f>
        <v>110011145.50999999</v>
      </c>
      <c r="W137" s="448">
        <f>E149</f>
        <v>247728863.152</v>
      </c>
      <c r="X137" s="448">
        <f>Z145</f>
        <v>156110807.36</v>
      </c>
      <c r="Y137" s="596">
        <f>W137-X137</f>
        <v>91618055.792</v>
      </c>
      <c r="AB137" s="1074"/>
      <c r="AC137" s="602"/>
      <c r="AF137" s="721"/>
    </row>
    <row r="138" spans="1:29" ht="18" customHeight="1">
      <c r="A138" s="792"/>
      <c r="B138" s="792"/>
      <c r="C138" s="793"/>
      <c r="D138" s="794"/>
      <c r="E138" s="1629"/>
      <c r="F138" s="1630"/>
      <c r="G138" s="1631"/>
      <c r="H138" s="450">
        <f>H137-E137</f>
        <v>-234761080.55</v>
      </c>
      <c r="K138" s="456">
        <f>K137-J135</f>
        <v>75931544.89799994</v>
      </c>
      <c r="N138" s="456">
        <f>4057700.37+E143</f>
        <v>5146438.93</v>
      </c>
      <c r="S138" s="456">
        <f>S136-S137</f>
        <v>30049135.87</v>
      </c>
      <c r="U138" s="639">
        <v>17535713.68</v>
      </c>
      <c r="X138" s="340" t="s">
        <v>614</v>
      </c>
      <c r="Y138" s="727">
        <v>17535713.68</v>
      </c>
      <c r="Z138" s="340" t="s">
        <v>599</v>
      </c>
      <c r="AC138" s="602"/>
    </row>
    <row r="139" spans="1:29" ht="18" customHeight="1">
      <c r="A139" s="1626" t="s">
        <v>527</v>
      </c>
      <c r="B139" s="1626"/>
      <c r="C139" s="1626"/>
      <c r="D139" s="1626"/>
      <c r="E139" s="1627" t="s">
        <v>300</v>
      </c>
      <c r="F139" s="1627"/>
      <c r="G139" s="1628"/>
      <c r="H139" s="373"/>
      <c r="U139" s="602">
        <f>U137-U138</f>
        <v>92475431.82999998</v>
      </c>
      <c r="Y139" s="726">
        <f>Y137-Y138</f>
        <v>74082342.11199999</v>
      </c>
      <c r="AC139" s="602"/>
    </row>
    <row r="140" spans="1:29" ht="9" customHeight="1">
      <c r="A140" s="1683"/>
      <c r="B140" s="1683"/>
      <c r="C140" s="1683"/>
      <c r="D140" s="1683"/>
      <c r="E140" s="1617"/>
      <c r="F140" s="1617"/>
      <c r="G140" s="1618"/>
      <c r="H140" s="374"/>
      <c r="Q140" s="726">
        <v>40311070.78</v>
      </c>
      <c r="V140" s="452"/>
      <c r="AC140" s="602"/>
    </row>
    <row r="141" spans="1:29" ht="18" customHeight="1">
      <c r="A141" s="1633" t="s">
        <v>528</v>
      </c>
      <c r="B141" s="1633"/>
      <c r="C141" s="1633"/>
      <c r="D141" s="1633"/>
      <c r="E141" s="1635">
        <f>E84</f>
        <v>-39013008.70200001</v>
      </c>
      <c r="F141" s="1636"/>
      <c r="G141" s="1637"/>
      <c r="H141" s="372"/>
      <c r="I141" s="737"/>
      <c r="J141" s="728">
        <f>E141</f>
        <v>-39013008.70200001</v>
      </c>
      <c r="K141" s="737"/>
      <c r="L141" s="728" t="e">
        <f>#REF!</f>
        <v>#REF!</v>
      </c>
      <c r="M141" s="737"/>
      <c r="N141" s="728">
        <f>I141</f>
        <v>0</v>
      </c>
      <c r="P141" s="456">
        <f>E137+E141</f>
        <v>227108944.16799998</v>
      </c>
      <c r="Q141" s="726">
        <v>6062153.62</v>
      </c>
      <c r="R141" s="452">
        <f>Q140-Q141</f>
        <v>34248917.160000004</v>
      </c>
      <c r="S141" s="456">
        <f>E162-S142</f>
        <v>52693998.51999998</v>
      </c>
      <c r="U141" s="452">
        <f>E141</f>
        <v>-39013008.70200001</v>
      </c>
      <c r="V141" s="452"/>
      <c r="AC141" s="602"/>
    </row>
    <row r="142" spans="1:23" ht="18" customHeight="1">
      <c r="A142" s="1633" t="s">
        <v>617</v>
      </c>
      <c r="B142" s="1633"/>
      <c r="C142" s="1633"/>
      <c r="D142" s="1633"/>
      <c r="E142" s="1638">
        <v>62344464.73</v>
      </c>
      <c r="F142" s="1639"/>
      <c r="G142" s="1640"/>
      <c r="H142" s="740"/>
      <c r="I142" s="737"/>
      <c r="J142" s="728">
        <f>E142</f>
        <v>62344464.73</v>
      </c>
      <c r="K142" s="737"/>
      <c r="L142" s="728" t="e">
        <f>#REF!</f>
        <v>#REF!</v>
      </c>
      <c r="M142" s="737"/>
      <c r="N142" s="728">
        <f>I142</f>
        <v>0</v>
      </c>
      <c r="P142" s="456">
        <f>P141-E143</f>
        <v>226020205.60799998</v>
      </c>
      <c r="Q142" s="726">
        <v>6698017.27</v>
      </c>
      <c r="R142" s="456">
        <f>R141+Q142</f>
        <v>40946934.43000001</v>
      </c>
      <c r="S142" s="448">
        <f>R142+E108</f>
        <v>225079301.44</v>
      </c>
      <c r="U142" s="452"/>
      <c r="W142" s="452">
        <f>E137</f>
        <v>266121952.87</v>
      </c>
    </row>
    <row r="143" spans="1:27" ht="18" customHeight="1">
      <c r="A143" s="1633" t="s">
        <v>529</v>
      </c>
      <c r="B143" s="1633"/>
      <c r="C143" s="1633"/>
      <c r="D143" s="1633"/>
      <c r="E143" s="1635">
        <f>E83</f>
        <v>1088738.56</v>
      </c>
      <c r="F143" s="1636"/>
      <c r="G143" s="1637"/>
      <c r="H143" s="740"/>
      <c r="I143" s="737"/>
      <c r="J143" s="728">
        <f>E143</f>
        <v>1088738.56</v>
      </c>
      <c r="K143" s="737"/>
      <c r="L143" s="728" t="e">
        <f>#REF!</f>
        <v>#REF!</v>
      </c>
      <c r="M143" s="737"/>
      <c r="N143" s="728">
        <f>I143</f>
        <v>0</v>
      </c>
      <c r="P143" s="456">
        <f>E137+E141-E143</f>
        <v>226020205.60799998</v>
      </c>
      <c r="Q143" s="452">
        <f>E108</f>
        <v>184132367.01</v>
      </c>
      <c r="R143" s="340" t="s">
        <v>600</v>
      </c>
      <c r="U143" s="721">
        <f>E143</f>
        <v>1088738.56</v>
      </c>
      <c r="V143" s="452"/>
      <c r="AA143" s="452"/>
    </row>
    <row r="144" spans="1:21" ht="18" customHeight="1">
      <c r="A144" s="1633" t="s">
        <v>530</v>
      </c>
      <c r="B144" s="1633"/>
      <c r="C144" s="1633"/>
      <c r="D144" s="1633"/>
      <c r="E144" s="1635">
        <f>-G113</f>
        <v>-6027104.87</v>
      </c>
      <c r="F144" s="1636"/>
      <c r="G144" s="1637"/>
      <c r="H144" s="455"/>
      <c r="I144" s="1634">
        <v>1302371.46</v>
      </c>
      <c r="J144" s="1632"/>
      <c r="K144" s="1632">
        <v>1302372.46</v>
      </c>
      <c r="L144" s="1632"/>
      <c r="M144" s="1632">
        <v>1302373.46</v>
      </c>
      <c r="N144" s="1632"/>
      <c r="P144" s="728">
        <v>1302371.46</v>
      </c>
      <c r="Q144" s="739">
        <f>23923449.7+16073747.45+725519.68+E129</f>
        <v>43938470.76</v>
      </c>
      <c r="R144" s="340" t="s">
        <v>601</v>
      </c>
      <c r="S144" s="728">
        <v>41700482.96</v>
      </c>
      <c r="U144" s="721">
        <f>E132+E129</f>
        <v>81989585.86000001</v>
      </c>
    </row>
    <row r="145" spans="1:26" ht="18" customHeight="1">
      <c r="A145" s="1633" t="s">
        <v>531</v>
      </c>
      <c r="B145" s="1633"/>
      <c r="C145" s="1633"/>
      <c r="D145" s="1633"/>
      <c r="E145" s="1644">
        <v>0</v>
      </c>
      <c r="F145" s="1644"/>
      <c r="G145" s="1645"/>
      <c r="H145" s="372"/>
      <c r="I145" s="737"/>
      <c r="J145" s="728"/>
      <c r="K145" s="728"/>
      <c r="S145" s="728">
        <f>S144-Q144</f>
        <v>-2237987.799999997</v>
      </c>
      <c r="U145" s="721">
        <v>73871265.64</v>
      </c>
      <c r="Y145" s="340">
        <v>25.26</v>
      </c>
      <c r="Z145" s="726">
        <v>156110807.36</v>
      </c>
    </row>
    <row r="146" spans="1:29" ht="18" customHeight="1">
      <c r="A146" s="1633" t="s">
        <v>629</v>
      </c>
      <c r="B146" s="1633"/>
      <c r="C146" s="1633"/>
      <c r="D146" s="1633"/>
      <c r="E146" s="1644">
        <v>0</v>
      </c>
      <c r="F146" s="1644"/>
      <c r="G146" s="1645"/>
      <c r="H146" s="372"/>
      <c r="I146" s="737"/>
      <c r="J146" s="728"/>
      <c r="K146" s="728"/>
      <c r="P146" s="456">
        <f>E149-P143</f>
        <v>21708657.54400003</v>
      </c>
      <c r="S146" s="452">
        <f>E160</f>
        <v>11651347.09</v>
      </c>
      <c r="U146" s="721">
        <f>U144-U145</f>
        <v>8118320.220000014</v>
      </c>
      <c r="Y146" s="340">
        <v>100</v>
      </c>
      <c r="Z146" s="726">
        <f>(Y146*Z145)/Y145</f>
        <v>618015864.4497229</v>
      </c>
      <c r="AC146" s="1075"/>
    </row>
    <row r="147" spans="1:29" ht="24.75" customHeight="1">
      <c r="A147" s="1633" t="s">
        <v>532</v>
      </c>
      <c r="B147" s="1633"/>
      <c r="C147" s="1633"/>
      <c r="D147" s="1633"/>
      <c r="E147" s="1635">
        <v>0</v>
      </c>
      <c r="F147" s="1636"/>
      <c r="G147" s="1637"/>
      <c r="H147" s="372"/>
      <c r="I147" s="737"/>
      <c r="J147" s="728"/>
      <c r="K147" s="728"/>
      <c r="P147" s="456">
        <f>P146</f>
        <v>21708657.54400003</v>
      </c>
      <c r="S147" s="456">
        <f>S145-S146</f>
        <v>-13889334.889999997</v>
      </c>
      <c r="U147" s="728">
        <v>156077410.86</v>
      </c>
      <c r="V147" s="452"/>
      <c r="Z147" s="452">
        <f>V149</f>
        <v>1063470489.2</v>
      </c>
      <c r="AC147" s="602"/>
    </row>
    <row r="148" spans="1:29" ht="18" customHeight="1">
      <c r="A148" s="1633" t="s">
        <v>618</v>
      </c>
      <c r="B148" s="1633"/>
      <c r="C148" s="1633"/>
      <c r="D148" s="1633"/>
      <c r="E148" s="1635">
        <f>SUM(E141:E147)</f>
        <v>18393089.717999987</v>
      </c>
      <c r="F148" s="1635"/>
      <c r="G148" s="1659"/>
      <c r="H148" s="455">
        <f>E149</f>
        <v>247728863.152</v>
      </c>
      <c r="I148" s="737"/>
      <c r="J148" s="1632">
        <f>J141+J142+J143+J144</f>
        <v>24420194.58799999</v>
      </c>
      <c r="K148" s="1632"/>
      <c r="N148" s="1641">
        <f>N141+N142+N143+N144</f>
        <v>0</v>
      </c>
      <c r="O148" s="1641"/>
      <c r="P148" s="456">
        <f>70774382.28-E149</f>
        <v>-176954480.872</v>
      </c>
      <c r="R148" s="456"/>
      <c r="T148" s="447">
        <v>37</v>
      </c>
      <c r="U148" s="738">
        <f>E137-U147</f>
        <v>110044542.00999999</v>
      </c>
      <c r="V148" s="452"/>
      <c r="Z148" s="602">
        <f>Z147-Z146</f>
        <v>445454624.75027716</v>
      </c>
      <c r="AC148" s="602"/>
    </row>
    <row r="149" spans="1:29" ht="18" customHeight="1">
      <c r="A149" s="1633" t="s">
        <v>533</v>
      </c>
      <c r="B149" s="1633"/>
      <c r="C149" s="1633"/>
      <c r="D149" s="1633"/>
      <c r="E149" s="1642">
        <f>E127+F127+E130+F130-E148</f>
        <v>247728863.152</v>
      </c>
      <c r="F149" s="1642"/>
      <c r="G149" s="1643"/>
      <c r="H149" s="372"/>
      <c r="I149" s="737"/>
      <c r="J149" s="1632">
        <f>'[16]Plan1'!C65</f>
        <v>25556993.780000005</v>
      </c>
      <c r="K149" s="1632"/>
      <c r="N149" s="452"/>
      <c r="P149" s="456">
        <f>E149+P144</f>
        <v>249031234.61200002</v>
      </c>
      <c r="R149" s="456">
        <f>R150-E149</f>
        <v>-21708657.54400003</v>
      </c>
      <c r="U149" s="596">
        <f>E127+E130</f>
        <v>266121952.87</v>
      </c>
      <c r="V149" s="452">
        <f>E53</f>
        <v>1063470489.2</v>
      </c>
      <c r="W149" s="602">
        <f>V149*25%</f>
        <v>265867622.3</v>
      </c>
      <c r="X149" s="640">
        <v>25</v>
      </c>
      <c r="AA149" s="849"/>
      <c r="AB149" s="602"/>
      <c r="AC149" s="452"/>
    </row>
    <row r="150" spans="1:29" ht="18" customHeight="1">
      <c r="A150" s="1633" t="s">
        <v>534</v>
      </c>
      <c r="B150" s="1633"/>
      <c r="C150" s="1633"/>
      <c r="D150" s="1633"/>
      <c r="E150" s="1642">
        <f>(E149/E53)*100</f>
        <v>23.29438058392716</v>
      </c>
      <c r="F150" s="1642"/>
      <c r="G150" s="1643"/>
      <c r="H150" s="375"/>
      <c r="K150" s="452">
        <f>E53</f>
        <v>1063470489.2</v>
      </c>
      <c r="P150" s="728">
        <f>(P149/E53)*100</f>
        <v>23.416844862271144</v>
      </c>
      <c r="R150" s="452">
        <f>E137+E141-E143</f>
        <v>226020205.60799998</v>
      </c>
      <c r="U150" s="594">
        <f>U149-E148</f>
        <v>247728863.152</v>
      </c>
      <c r="V150" s="452">
        <f>V149</f>
        <v>1063470489.2</v>
      </c>
      <c r="W150" s="452">
        <f>E149</f>
        <v>247728863.152</v>
      </c>
      <c r="X150" s="340">
        <v>25.84</v>
      </c>
      <c r="AC150" s="452"/>
    </row>
    <row r="151" spans="1:32" s="276" customFormat="1" ht="8.25" customHeight="1">
      <c r="A151" s="1193"/>
      <c r="B151" s="1193"/>
      <c r="C151" s="1193"/>
      <c r="D151" s="1193"/>
      <c r="E151" s="1194"/>
      <c r="F151" s="1194"/>
      <c r="G151" s="1103"/>
      <c r="H151" s="375"/>
      <c r="I151" s="722"/>
      <c r="J151" s="377"/>
      <c r="K151" s="276">
        <f>J149/K150*100</f>
        <v>2.4031690620042836</v>
      </c>
      <c r="U151" s="736">
        <f>X137</f>
        <v>156110807.36</v>
      </c>
      <c r="W151" s="601">
        <f>W150-W149</f>
        <v>-18138759.148000002</v>
      </c>
      <c r="X151" s="276">
        <v>0.84</v>
      </c>
      <c r="AF151" s="723"/>
    </row>
    <row r="152" spans="1:32" s="276" customFormat="1" ht="18" customHeight="1">
      <c r="A152" s="1665" t="s">
        <v>535</v>
      </c>
      <c r="B152" s="1665"/>
      <c r="C152" s="1665"/>
      <c r="D152" s="1665"/>
      <c r="E152" s="1665"/>
      <c r="F152" s="1665"/>
      <c r="G152" s="1666"/>
      <c r="H152" s="375"/>
      <c r="I152" s="722"/>
      <c r="J152" s="735"/>
      <c r="N152" s="452">
        <f>E149-26158993.78</f>
        <v>221569869.372</v>
      </c>
      <c r="U152" s="474">
        <f>U150-U151</f>
        <v>91618055.792</v>
      </c>
      <c r="W152" s="723">
        <f>(W151*X152)/X151</f>
        <v>-2159376089.0476193</v>
      </c>
      <c r="X152" s="276">
        <v>100</v>
      </c>
      <c r="AA152" s="1187"/>
      <c r="AF152" s="723"/>
    </row>
    <row r="153" spans="1:23" ht="18" customHeight="1">
      <c r="A153" s="641"/>
      <c r="B153" s="366" t="s">
        <v>286</v>
      </c>
      <c r="C153" s="366" t="s">
        <v>286</v>
      </c>
      <c r="D153" s="1478" t="s">
        <v>287</v>
      </c>
      <c r="E153" s="1478"/>
      <c r="F153" s="1478"/>
      <c r="G153" s="1479"/>
      <c r="H153" s="364"/>
      <c r="J153" s="456"/>
      <c r="U153" s="608">
        <f>U148+E141</f>
        <v>71031533.30799998</v>
      </c>
      <c r="W153" s="602">
        <f>V150*25.84%</f>
        <v>274800774.40928006</v>
      </c>
    </row>
    <row r="154" spans="1:23" ht="18" customHeight="1">
      <c r="A154" s="642" t="s">
        <v>536</v>
      </c>
      <c r="B154" s="366" t="s">
        <v>288</v>
      </c>
      <c r="C154" s="366" t="s">
        <v>289</v>
      </c>
      <c r="D154" s="239" t="s">
        <v>122</v>
      </c>
      <c r="E154" s="239" t="s">
        <v>123</v>
      </c>
      <c r="F154" s="1610" t="s">
        <v>623</v>
      </c>
      <c r="G154" s="1122" t="s">
        <v>119</v>
      </c>
      <c r="H154" s="364"/>
      <c r="W154" s="602">
        <f>W150-W153</f>
        <v>-27071911.25728005</v>
      </c>
    </row>
    <row r="155" spans="1:8" ht="18" customHeight="1">
      <c r="A155" s="633"/>
      <c r="B155" s="369"/>
      <c r="C155" s="241" t="s">
        <v>494</v>
      </c>
      <c r="D155" s="241"/>
      <c r="E155" s="366" t="s">
        <v>514</v>
      </c>
      <c r="F155" s="1611"/>
      <c r="G155" s="1129" t="s">
        <v>515</v>
      </c>
      <c r="H155" s="364"/>
    </row>
    <row r="156" spans="1:28" ht="18.75" customHeight="1">
      <c r="A156" s="637" t="s">
        <v>622</v>
      </c>
      <c r="B156" s="811">
        <v>0</v>
      </c>
      <c r="C156" s="811">
        <v>0</v>
      </c>
      <c r="D156" s="761">
        <f>E156-'[21]Anexo X _ ENSINO'!E156</f>
        <v>0</v>
      </c>
      <c r="E156" s="1297">
        <v>0</v>
      </c>
      <c r="F156" s="1102">
        <f>D156-E156</f>
        <v>0</v>
      </c>
      <c r="G156" s="1130"/>
      <c r="H156" s="364"/>
      <c r="AB156" s="849"/>
    </row>
    <row r="157" spans="1:32" s="447" customFormat="1" ht="18.75" customHeight="1" thickBot="1">
      <c r="A157" s="636" t="s">
        <v>621</v>
      </c>
      <c r="B157" s="805">
        <v>5680000</v>
      </c>
      <c r="C157" s="805">
        <v>12680000</v>
      </c>
      <c r="D157" s="761">
        <f>E157-'[21]Anexo X _ ENSINO'!E157</f>
        <v>246734.35000000056</v>
      </c>
      <c r="E157" s="806">
        <v>5872123.2</v>
      </c>
      <c r="F157" s="1102">
        <v>0</v>
      </c>
      <c r="G157" s="1105">
        <f>E157/C157*100</f>
        <v>46.31011987381704</v>
      </c>
      <c r="H157" s="731"/>
      <c r="I157" s="731"/>
      <c r="AF157" s="721"/>
    </row>
    <row r="158" spans="1:32" s="447" customFormat="1" ht="18" customHeight="1">
      <c r="A158" s="636" t="s">
        <v>620</v>
      </c>
      <c r="B158" s="805">
        <v>3000000</v>
      </c>
      <c r="C158" s="805">
        <f>B158</f>
        <v>3000000</v>
      </c>
      <c r="D158" s="761">
        <f>E158-'[21]Anexo X _ ENSINO'!E158</f>
        <v>0</v>
      </c>
      <c r="E158" s="1102">
        <v>0</v>
      </c>
      <c r="F158" s="1102">
        <f>D158-E158</f>
        <v>0</v>
      </c>
      <c r="G158" s="1105">
        <f>E158/C158*100</f>
        <v>0</v>
      </c>
      <c r="H158" s="731"/>
      <c r="I158" s="731"/>
      <c r="W158" s="605"/>
      <c r="X158" s="606" t="s">
        <v>616</v>
      </c>
      <c r="Y158" s="607" t="s">
        <v>615</v>
      </c>
      <c r="AC158" s="1134"/>
      <c r="AD158" s="731"/>
      <c r="AE158" s="628"/>
      <c r="AF158" s="723"/>
    </row>
    <row r="159" spans="1:32" s="447" customFormat="1" ht="23.25" customHeight="1">
      <c r="A159" s="636" t="s">
        <v>619</v>
      </c>
      <c r="B159" s="805">
        <v>27057150</v>
      </c>
      <c r="C159" s="805">
        <f>B159</f>
        <v>27057150</v>
      </c>
      <c r="D159" s="1287">
        <f>E159-'[21]Anexo X _ ENSINO'!E159</f>
        <v>3870685.6799999997</v>
      </c>
      <c r="E159" s="1298">
        <v>5779223.89</v>
      </c>
      <c r="F159" s="812">
        <v>0</v>
      </c>
      <c r="G159" s="1131">
        <f>E159/C159*100</f>
        <v>21.359322360263366</v>
      </c>
      <c r="H159" s="731"/>
      <c r="I159" s="731"/>
      <c r="W159" s="643" t="s">
        <v>601</v>
      </c>
      <c r="X159" s="734">
        <v>91406979.32</v>
      </c>
      <c r="Y159" s="644">
        <f>Y161-Y160</f>
        <v>172614375.26</v>
      </c>
      <c r="Z159" s="645">
        <f>X159-Y159</f>
        <v>-81207395.94</v>
      </c>
      <c r="AD159" s="790"/>
      <c r="AE159" s="791"/>
      <c r="AF159" s="723"/>
    </row>
    <row r="160" spans="1:32" s="447" customFormat="1" ht="13.5" customHeight="1" thickBot="1">
      <c r="A160" s="646" t="s">
        <v>537</v>
      </c>
      <c r="B160" s="1686">
        <f>B156+B157+B158+B159</f>
        <v>35737150</v>
      </c>
      <c r="C160" s="1686">
        <f>C156+C157+C158+C159</f>
        <v>42737150</v>
      </c>
      <c r="D160" s="1684">
        <f>D156+D157+D158+D159</f>
        <v>4117420.0300000003</v>
      </c>
      <c r="E160" s="1686">
        <f>E156+E157+E158+E159</f>
        <v>11651347.09</v>
      </c>
      <c r="F160" s="1687">
        <f>F156+F157+F158+F159</f>
        <v>0</v>
      </c>
      <c r="G160" s="1688">
        <f>E160/C160*100</f>
        <v>27.262807861544346</v>
      </c>
      <c r="H160" s="731"/>
      <c r="I160" s="731"/>
      <c r="U160" s="726">
        <v>6731445.74</v>
      </c>
      <c r="W160" s="643" t="s">
        <v>600</v>
      </c>
      <c r="X160" s="733">
        <v>93507577.61</v>
      </c>
      <c r="Y160" s="647">
        <f>X160</f>
        <v>93507577.61</v>
      </c>
      <c r="Z160" s="596">
        <f>X160-Y160</f>
        <v>0</v>
      </c>
      <c r="AD160" s="628"/>
      <c r="AE160" s="628"/>
      <c r="AF160" s="723"/>
    </row>
    <row r="161" spans="1:32" s="447" customFormat="1" ht="18" customHeight="1" thickBot="1">
      <c r="A161" s="638" t="s">
        <v>538</v>
      </c>
      <c r="B161" s="1685"/>
      <c r="C161" s="1685"/>
      <c r="D161" s="1685"/>
      <c r="E161" s="1685"/>
      <c r="F161" s="1685"/>
      <c r="G161" s="1689"/>
      <c r="H161" s="628"/>
      <c r="I161" s="731"/>
      <c r="J161" s="448">
        <f>D162-'[16]Anexo II_DP FUNC'!H58</f>
        <v>2064323.380000025</v>
      </c>
      <c r="U161" s="596">
        <f>U160-E160</f>
        <v>-4919901.35</v>
      </c>
      <c r="W161" s="648"/>
      <c r="X161" s="732">
        <f>X159+X160</f>
        <v>184914556.93</v>
      </c>
      <c r="Y161" s="649">
        <f>E137</f>
        <v>266121952.87</v>
      </c>
      <c r="Z161" s="596">
        <f>X161-Y161</f>
        <v>-81207395.94</v>
      </c>
      <c r="AC161" s="340"/>
      <c r="AD161" s="276"/>
      <c r="AE161" s="276"/>
      <c r="AF161" s="735"/>
    </row>
    <row r="162" spans="1:32" s="447" customFormat="1" ht="18" customHeight="1">
      <c r="A162" s="869" t="s">
        <v>540</v>
      </c>
      <c r="B162" s="870">
        <f>B137+B160</f>
        <v>502187208</v>
      </c>
      <c r="C162" s="870">
        <f>C137+C160</f>
        <v>515214312.87</v>
      </c>
      <c r="D162" s="870">
        <f>D137+D160</f>
        <v>79132667.47000001</v>
      </c>
      <c r="E162" s="1660">
        <f>E137+E160+F137+F160</f>
        <v>277773299.96</v>
      </c>
      <c r="F162" s="1661"/>
      <c r="G162" s="1132">
        <f>E162/C162*100</f>
        <v>53.91412719352934</v>
      </c>
      <c r="H162" s="731"/>
      <c r="I162" s="731"/>
      <c r="J162" s="650">
        <f>B160+B137+B108-B128-B131</f>
        <v>502187208</v>
      </c>
      <c r="M162" s="730">
        <f>'[16]Anexo II_DP FUNC'!C127</f>
        <v>53371025</v>
      </c>
      <c r="U162" s="449">
        <f>'[20]Anexo II_DP FUNC'!H59</f>
        <v>184914556.92999998</v>
      </c>
      <c r="W162" s="651">
        <f>'[20]Anexo II_DP FUNC'!H59</f>
        <v>184914556.92999998</v>
      </c>
      <c r="AB162" s="596"/>
      <c r="AC162" s="225"/>
      <c r="AD162" s="1135"/>
      <c r="AE162" s="1135"/>
      <c r="AF162" s="735"/>
    </row>
    <row r="163" spans="1:32" s="447" customFormat="1" ht="18" customHeight="1">
      <c r="A163" s="867"/>
      <c r="B163" s="868"/>
      <c r="C163" s="868"/>
      <c r="D163" s="868"/>
      <c r="E163" s="868"/>
      <c r="F163" s="868"/>
      <c r="G163" s="731"/>
      <c r="H163" s="731"/>
      <c r="I163" s="731"/>
      <c r="J163" s="650"/>
      <c r="M163" s="730"/>
      <c r="U163" s="449"/>
      <c r="W163" s="651"/>
      <c r="AC163" s="225"/>
      <c r="AD163" s="1135"/>
      <c r="AE163" s="1135"/>
      <c r="AF163" s="735"/>
    </row>
    <row r="164" spans="1:32" s="447" customFormat="1" ht="18" customHeight="1">
      <c r="A164" s="1587" t="s">
        <v>655</v>
      </c>
      <c r="B164" s="1587"/>
      <c r="C164" s="1587"/>
      <c r="D164" s="1587"/>
      <c r="E164" s="616"/>
      <c r="F164" s="616"/>
      <c r="G164" s="616"/>
      <c r="H164" s="731"/>
      <c r="I164" s="731"/>
      <c r="J164" s="650"/>
      <c r="M164" s="730"/>
      <c r="U164" s="449"/>
      <c r="W164" s="651"/>
      <c r="AC164" s="225"/>
      <c r="AD164" s="1135"/>
      <c r="AE164" s="1135"/>
      <c r="AF164" s="735"/>
    </row>
    <row r="165" spans="1:32" s="447" customFormat="1" ht="18" customHeight="1">
      <c r="A165" s="1587" t="s">
        <v>654</v>
      </c>
      <c r="B165" s="1587"/>
      <c r="C165" s="1587"/>
      <c r="D165" s="1587"/>
      <c r="E165" s="616"/>
      <c r="F165" s="616"/>
      <c r="G165" s="616"/>
      <c r="H165" s="731"/>
      <c r="I165" s="731"/>
      <c r="J165" s="650"/>
      <c r="M165" s="730"/>
      <c r="U165" s="449"/>
      <c r="W165" s="651"/>
      <c r="AC165" s="225"/>
      <c r="AD165" s="1135"/>
      <c r="AE165" s="1135"/>
      <c r="AF165" s="735"/>
    </row>
    <row r="166" spans="1:32" s="447" customFormat="1" ht="18" customHeight="1">
      <c r="A166" s="1589" t="s">
        <v>434</v>
      </c>
      <c r="B166" s="1589"/>
      <c r="C166" s="1589"/>
      <c r="D166" s="1589"/>
      <c r="E166" s="863" t="str">
        <f>E92</f>
        <v>Publicação: Diário Oficial do Município nº 227</v>
      </c>
      <c r="F166" s="616"/>
      <c r="G166" s="616"/>
      <c r="H166" s="731"/>
      <c r="I166" s="731"/>
      <c r="J166" s="650"/>
      <c r="M166" s="730"/>
      <c r="U166" s="449"/>
      <c r="W166" s="651"/>
      <c r="AC166" s="225"/>
      <c r="AD166" s="1135"/>
      <c r="AE166" s="1135"/>
      <c r="AF166" s="735"/>
    </row>
    <row r="167" spans="1:32" s="447" customFormat="1" ht="18" customHeight="1">
      <c r="A167" s="1587" t="s">
        <v>653</v>
      </c>
      <c r="B167" s="1587"/>
      <c r="C167" s="1587"/>
      <c r="D167" s="1587"/>
      <c r="E167" s="863" t="str">
        <f>E93</f>
        <v>Data: 26/11/2012</v>
      </c>
      <c r="F167" s="616"/>
      <c r="G167" s="616"/>
      <c r="H167" s="731"/>
      <c r="I167" s="731"/>
      <c r="J167" s="650"/>
      <c r="M167" s="730"/>
      <c r="U167" s="449"/>
      <c r="W167" s="651"/>
      <c r="AC167" s="225"/>
      <c r="AD167" s="1135"/>
      <c r="AE167" s="1135"/>
      <c r="AF167" s="735"/>
    </row>
    <row r="168" spans="1:32" s="447" customFormat="1" ht="18" customHeight="1">
      <c r="A168" s="1589" t="str">
        <f>A5</f>
        <v>Referência: JANEIRO-OUTUBRO/2012; BIMESTRE: SETEMBRO/OUTUBRO/2012</v>
      </c>
      <c r="B168" s="1589"/>
      <c r="C168" s="616"/>
      <c r="D168" s="616"/>
      <c r="E168" s="616"/>
      <c r="F168" s="616"/>
      <c r="G168" s="616"/>
      <c r="H168" s="731"/>
      <c r="I168" s="731"/>
      <c r="J168" s="650"/>
      <c r="M168" s="730"/>
      <c r="U168" s="449"/>
      <c r="W168" s="651"/>
      <c r="AC168" s="225"/>
      <c r="AD168" s="1135"/>
      <c r="AE168" s="1135"/>
      <c r="AF168" s="735"/>
    </row>
    <row r="169" spans="1:32" s="447" customFormat="1" ht="18" customHeight="1">
      <c r="A169" s="1291" t="s">
        <v>682</v>
      </c>
      <c r="B169" s="871"/>
      <c r="C169" s="871"/>
      <c r="D169" s="871"/>
      <c r="E169" s="571"/>
      <c r="F169" s="871"/>
      <c r="G169" s="767" t="s">
        <v>659</v>
      </c>
      <c r="H169" s="731"/>
      <c r="I169" s="731"/>
      <c r="J169" s="650"/>
      <c r="M169" s="730"/>
      <c r="U169" s="449"/>
      <c r="W169" s="651"/>
      <c r="AC169" s="225"/>
      <c r="AD169" s="1135"/>
      <c r="AE169" s="1135"/>
      <c r="AF169" s="735"/>
    </row>
    <row r="170" spans="1:32" ht="23.25" customHeight="1">
      <c r="A170" s="1670" t="s">
        <v>541</v>
      </c>
      <c r="B170" s="1670"/>
      <c r="C170" s="1670"/>
      <c r="D170" s="1670"/>
      <c r="E170" s="1670"/>
      <c r="F170" s="1670"/>
      <c r="G170" s="1671"/>
      <c r="H170" s="362"/>
      <c r="J170" s="456">
        <f>J162/2</f>
        <v>251093604</v>
      </c>
      <c r="M170" s="452">
        <f>M162+J162</f>
        <v>555558233</v>
      </c>
      <c r="U170" s="602">
        <f>U162-E162</f>
        <v>-92858743.03</v>
      </c>
      <c r="W170" s="721">
        <f>W162-X161</f>
        <v>0</v>
      </c>
      <c r="X170" s="726">
        <v>17535713.68</v>
      </c>
      <c r="Y170" s="726"/>
      <c r="Z170" s="726">
        <v>441813.83</v>
      </c>
      <c r="AC170" s="818"/>
      <c r="AD170" s="1135"/>
      <c r="AE170" s="1135"/>
      <c r="AF170" s="735"/>
    </row>
    <row r="171" spans="1:32" ht="18" customHeight="1">
      <c r="A171" s="1668" t="s">
        <v>542</v>
      </c>
      <c r="B171" s="1540" t="s">
        <v>539</v>
      </c>
      <c r="C171" s="1540"/>
      <c r="D171" s="1672"/>
      <c r="E171" s="1672"/>
      <c r="F171" s="1672"/>
      <c r="G171" s="1673"/>
      <c r="H171" s="364"/>
      <c r="M171" s="452"/>
      <c r="W171" s="721"/>
      <c r="X171" s="726">
        <v>14800373.36</v>
      </c>
      <c r="Y171" s="726"/>
      <c r="Z171" s="726">
        <v>10569758.64</v>
      </c>
      <c r="AA171" s="452"/>
      <c r="AC171" s="276"/>
      <c r="AD171" s="601"/>
      <c r="AE171" s="601"/>
      <c r="AF171" s="601"/>
    </row>
    <row r="172" spans="1:27" ht="18" customHeight="1">
      <c r="A172" s="1668"/>
      <c r="B172" s="1655" t="s">
        <v>543</v>
      </c>
      <c r="C172" s="1655"/>
      <c r="D172" s="1656" t="s">
        <v>780</v>
      </c>
      <c r="E172" s="1656"/>
      <c r="F172" s="1656"/>
      <c r="G172" s="1657"/>
      <c r="H172" s="364"/>
      <c r="W172" s="721"/>
      <c r="X172" s="726">
        <f>X170-X171</f>
        <v>2735340.3200000003</v>
      </c>
      <c r="Y172" s="726"/>
      <c r="Z172" s="726">
        <v>1389412.18</v>
      </c>
      <c r="AA172" s="602"/>
    </row>
    <row r="173" spans="1:31" ht="18" customHeight="1" thickBot="1">
      <c r="A173" s="1668"/>
      <c r="B173" s="1658" t="s">
        <v>539</v>
      </c>
      <c r="C173" s="1658"/>
      <c r="D173" s="1653"/>
      <c r="E173" s="1653"/>
      <c r="F173" s="1653"/>
      <c r="G173" s="1654"/>
      <c r="H173" s="364"/>
      <c r="Z173" s="729">
        <v>5134729.03</v>
      </c>
      <c r="AE173" s="728"/>
    </row>
    <row r="174" spans="1:31" ht="18" customHeight="1">
      <c r="A174" s="379" t="s">
        <v>602</v>
      </c>
      <c r="B174" s="1669">
        <v>0</v>
      </c>
      <c r="C174" s="1669"/>
      <c r="D174" s="1663">
        <v>0</v>
      </c>
      <c r="E174" s="1663"/>
      <c r="F174" s="1663"/>
      <c r="G174" s="1664"/>
      <c r="H174" s="722"/>
      <c r="Z174" s="448">
        <f>SUM(Z170:Z173)</f>
        <v>17535713.68</v>
      </c>
      <c r="AE174" s="602"/>
    </row>
    <row r="175" spans="1:8" ht="9" customHeight="1">
      <c r="A175" s="194"/>
      <c r="B175" s="380"/>
      <c r="C175" s="593"/>
      <c r="D175" s="380"/>
      <c r="E175" s="380"/>
      <c r="F175" s="380"/>
      <c r="G175" s="1133"/>
      <c r="H175" s="247"/>
    </row>
    <row r="176" spans="1:24" ht="12" customHeight="1">
      <c r="A176" s="1667" t="s">
        <v>544</v>
      </c>
      <c r="B176" s="1667"/>
      <c r="C176" s="1667"/>
      <c r="D176" s="1667"/>
      <c r="E176" s="1450" t="s">
        <v>300</v>
      </c>
      <c r="F176" s="1450"/>
      <c r="G176" s="1451"/>
      <c r="H176" s="276"/>
      <c r="X176" s="727">
        <f>'[20]Anexo II_DP FUNC'!H59</f>
        <v>184914556.92999998</v>
      </c>
    </row>
    <row r="177" spans="1:24" ht="12.75" customHeight="1">
      <c r="A177" s="1667"/>
      <c r="B177" s="1667"/>
      <c r="C177" s="1667"/>
      <c r="D177" s="1667"/>
      <c r="E177" s="1450"/>
      <c r="F177" s="1450"/>
      <c r="G177" s="1451"/>
      <c r="H177" s="276"/>
      <c r="X177" s="652">
        <f>X161-X176</f>
        <v>0</v>
      </c>
    </row>
    <row r="178" spans="1:22" ht="23.25" customHeight="1">
      <c r="A178" s="875" t="s">
        <v>700</v>
      </c>
      <c r="B178" s="876"/>
      <c r="C178" s="876"/>
      <c r="D178" s="876"/>
      <c r="E178" s="1649">
        <f>E117</f>
        <v>10332391.84</v>
      </c>
      <c r="F178" s="1649"/>
      <c r="G178" s="1650"/>
      <c r="H178" s="725"/>
      <c r="V178" s="452">
        <f>E178</f>
        <v>10332391.84</v>
      </c>
    </row>
    <row r="179" spans="1:30" ht="18" customHeight="1">
      <c r="A179" s="1651" t="s">
        <v>701</v>
      </c>
      <c r="B179" s="1651"/>
      <c r="C179" s="1651"/>
      <c r="D179" s="1652"/>
      <c r="E179" s="1649">
        <f>E81+E82</f>
        <v>172728266.19</v>
      </c>
      <c r="F179" s="1649"/>
      <c r="G179" s="1650"/>
      <c r="H179" s="725"/>
      <c r="U179" s="652">
        <f>E179-E180+E181</f>
        <v>-578578.4000000083</v>
      </c>
      <c r="V179" s="340" t="s">
        <v>611</v>
      </c>
      <c r="W179" s="727">
        <f>17969862.92-19334028.92+61794.54</f>
        <v>-1302371.46</v>
      </c>
      <c r="Y179" s="452"/>
      <c r="AA179" s="849"/>
      <c r="AC179" s="1662"/>
      <c r="AD179" s="1662"/>
    </row>
    <row r="180" spans="1:32" ht="18" customHeight="1">
      <c r="A180" s="1651" t="s">
        <v>704</v>
      </c>
      <c r="B180" s="1651"/>
      <c r="C180" s="1651"/>
      <c r="D180" s="1651"/>
      <c r="E180" s="1649">
        <v>174395583.15</v>
      </c>
      <c r="F180" s="1649"/>
      <c r="G180" s="1650"/>
      <c r="H180" s="725"/>
      <c r="U180" s="602">
        <f>E178+U179</f>
        <v>9753813.439999992</v>
      </c>
      <c r="V180" s="340" t="s">
        <v>612</v>
      </c>
      <c r="W180" s="1019">
        <f>45779982.05-41638135.06+147912.99</f>
        <v>4289759.979999995</v>
      </c>
      <c r="Y180" s="602"/>
      <c r="AA180" s="602"/>
      <c r="AF180" s="1019"/>
    </row>
    <row r="181" spans="1:30" ht="18" customHeight="1">
      <c r="A181" s="1651" t="s">
        <v>703</v>
      </c>
      <c r="B181" s="1651"/>
      <c r="C181" s="1651"/>
      <c r="D181" s="1651"/>
      <c r="E181" s="1649">
        <f>E143</f>
        <v>1088738.56</v>
      </c>
      <c r="F181" s="1649"/>
      <c r="G181" s="1650"/>
      <c r="H181" s="725"/>
      <c r="U181" s="726">
        <f>17969862.92-19334028.92+61794.54</f>
        <v>-1302371.46</v>
      </c>
      <c r="V181" s="340" t="s">
        <v>613</v>
      </c>
      <c r="W181" s="721">
        <f>45779982.05-41638135.06+147912.99</f>
        <v>4289759.979999995</v>
      </c>
      <c r="AA181" s="452" t="s">
        <v>714</v>
      </c>
      <c r="AD181" s="602"/>
    </row>
    <row r="182" spans="1:29" ht="21.75" customHeight="1">
      <c r="A182" s="1646" t="s">
        <v>702</v>
      </c>
      <c r="B182" s="1646"/>
      <c r="C182" s="1646"/>
      <c r="D182" s="1646"/>
      <c r="E182" s="1647">
        <f>E178+E179-E180+E181</f>
        <v>9753813.439999996</v>
      </c>
      <c r="F182" s="1647"/>
      <c r="G182" s="1648"/>
      <c r="H182" s="725"/>
      <c r="V182" s="340" t="s">
        <v>612</v>
      </c>
      <c r="W182" s="652">
        <f>U179-W179</f>
        <v>723793.0599999917</v>
      </c>
      <c r="AC182" s="452"/>
    </row>
    <row r="183" spans="1:29" ht="18" customHeight="1">
      <c r="A183" s="195" t="str">
        <f>'[20]Anexo III _ RCL'!A35</f>
        <v>FONTE: SECRETARIA MUNICIPAL DA FAZENDA</v>
      </c>
      <c r="B183" s="278"/>
      <c r="C183" s="376"/>
      <c r="D183" s="376"/>
      <c r="E183" s="725"/>
      <c r="F183" s="725"/>
      <c r="G183" s="1595"/>
      <c r="H183" s="1595"/>
      <c r="AC183" s="602"/>
    </row>
    <row r="184" spans="1:32" s="276" customFormat="1" ht="18.75" customHeight="1">
      <c r="A184" s="195" t="str">
        <f>'Anexo I_BAL ORC'!A101</f>
        <v>  São Luís, 26 de Novembro de 2012</v>
      </c>
      <c r="B184" s="381"/>
      <c r="C184" s="381"/>
      <c r="D184" s="381"/>
      <c r="E184" s="381"/>
      <c r="F184" s="381"/>
      <c r="G184" s="820"/>
      <c r="H184" s="382"/>
      <c r="I184" s="722"/>
      <c r="AF184" s="723"/>
    </row>
    <row r="185" spans="1:32" s="276" customFormat="1" ht="12.75">
      <c r="A185" s="261"/>
      <c r="B185" s="122"/>
      <c r="C185" s="122"/>
      <c r="D185" s="122"/>
      <c r="E185" s="122"/>
      <c r="F185" s="122"/>
      <c r="G185" s="724"/>
      <c r="H185" s="724"/>
      <c r="I185" s="722"/>
      <c r="AF185" s="723"/>
    </row>
    <row r="186" spans="1:8" ht="12.75">
      <c r="A186" s="385"/>
      <c r="B186" s="383"/>
      <c r="C186" s="381"/>
      <c r="D186" s="383"/>
      <c r="E186" s="383"/>
      <c r="F186" s="383"/>
      <c r="G186" s="383"/>
      <c r="H186" s="383"/>
    </row>
    <row r="187" spans="1:32" ht="12.75">
      <c r="A187" s="385"/>
      <c r="B187" s="383"/>
      <c r="C187" s="381"/>
      <c r="D187" s="383"/>
      <c r="E187" s="383"/>
      <c r="F187" s="383"/>
      <c r="G187" s="383"/>
      <c r="H187" s="383"/>
      <c r="I187" s="340"/>
      <c r="AF187" s="340"/>
    </row>
    <row r="188" spans="1:32" ht="19.5" customHeight="1">
      <c r="A188" s="384"/>
      <c r="B188" s="383"/>
      <c r="C188" s="381"/>
      <c r="D188" s="383"/>
      <c r="E188" s="383"/>
      <c r="F188" s="383"/>
      <c r="G188" s="383"/>
      <c r="H188" s="383"/>
      <c r="I188" s="340"/>
      <c r="AF188" s="340"/>
    </row>
    <row r="189" spans="1:32" ht="12.75">
      <c r="A189" s="386"/>
      <c r="B189" s="383"/>
      <c r="C189" s="383"/>
      <c r="D189" s="383"/>
      <c r="E189" s="383"/>
      <c r="F189" s="383"/>
      <c r="G189" s="276"/>
      <c r="H189" s="276"/>
      <c r="I189" s="340"/>
      <c r="AF189" s="340"/>
    </row>
    <row r="190" ht="12.75"/>
    <row r="191" ht="12.75"/>
    <row r="192" ht="12.75"/>
    <row r="193" ht="12.75"/>
    <row r="194" ht="12.75"/>
    <row r="195" ht="12.75"/>
    <row r="196" ht="12.75"/>
    <row r="197" ht="12.75"/>
    <row r="198" ht="12.75">
      <c r="F198" s="602"/>
    </row>
    <row r="203" ht="12.75">
      <c r="F203" s="849"/>
    </row>
  </sheetData>
  <sheetProtection/>
  <mergeCells count="125">
    <mergeCell ref="E144:G144"/>
    <mergeCell ref="D153:G153"/>
    <mergeCell ref="A140:D140"/>
    <mergeCell ref="D160:D161"/>
    <mergeCell ref="C160:C161"/>
    <mergeCell ref="E160:E161"/>
    <mergeCell ref="F160:F161"/>
    <mergeCell ref="G160:G161"/>
    <mergeCell ref="E150:G150"/>
    <mergeCell ref="B160:B161"/>
    <mergeCell ref="F76:G76"/>
    <mergeCell ref="F75:G75"/>
    <mergeCell ref="F74:G74"/>
    <mergeCell ref="F73:G73"/>
    <mergeCell ref="F84:G84"/>
    <mergeCell ref="F82:G82"/>
    <mergeCell ref="F83:G83"/>
    <mergeCell ref="F81:G81"/>
    <mergeCell ref="F80:G80"/>
    <mergeCell ref="AC179:AD179"/>
    <mergeCell ref="D174:G174"/>
    <mergeCell ref="A152:G152"/>
    <mergeCell ref="A176:D177"/>
    <mergeCell ref="E176:G177"/>
    <mergeCell ref="A171:A173"/>
    <mergeCell ref="B174:C174"/>
    <mergeCell ref="A170:G170"/>
    <mergeCell ref="B171:C171"/>
    <mergeCell ref="D171:G171"/>
    <mergeCell ref="D173:G173"/>
    <mergeCell ref="B172:C172"/>
    <mergeCell ref="D172:G172"/>
    <mergeCell ref="B173:C173"/>
    <mergeCell ref="A147:D147"/>
    <mergeCell ref="A148:D148"/>
    <mergeCell ref="E148:G148"/>
    <mergeCell ref="F154:F155"/>
    <mergeCell ref="E162:F162"/>
    <mergeCell ref="A150:D150"/>
    <mergeCell ref="A182:D182"/>
    <mergeCell ref="E182:G182"/>
    <mergeCell ref="E178:G178"/>
    <mergeCell ref="A179:D179"/>
    <mergeCell ref="E179:G179"/>
    <mergeCell ref="A180:D180"/>
    <mergeCell ref="E180:G180"/>
    <mergeCell ref="E181:G181"/>
    <mergeCell ref="A181:D181"/>
    <mergeCell ref="N148:O148"/>
    <mergeCell ref="A149:D149"/>
    <mergeCell ref="E149:G149"/>
    <mergeCell ref="J149:K149"/>
    <mergeCell ref="A145:D145"/>
    <mergeCell ref="E145:G145"/>
    <mergeCell ref="A146:D146"/>
    <mergeCell ref="E146:G146"/>
    <mergeCell ref="J148:K148"/>
    <mergeCell ref="E147:G147"/>
    <mergeCell ref="M144:N144"/>
    <mergeCell ref="A144:D144"/>
    <mergeCell ref="I144:J144"/>
    <mergeCell ref="K144:L144"/>
    <mergeCell ref="A141:D141"/>
    <mergeCell ref="E141:G141"/>
    <mergeCell ref="A142:D142"/>
    <mergeCell ref="E142:G142"/>
    <mergeCell ref="A143:D143"/>
    <mergeCell ref="E143:G143"/>
    <mergeCell ref="E140:G140"/>
    <mergeCell ref="A117:D117"/>
    <mergeCell ref="E117:G117"/>
    <mergeCell ref="A118:D118"/>
    <mergeCell ref="D120:G120"/>
    <mergeCell ref="A119:G119"/>
    <mergeCell ref="A139:D139"/>
    <mergeCell ref="E139:G139"/>
    <mergeCell ref="E138:G138"/>
    <mergeCell ref="D124:G124"/>
    <mergeCell ref="E108:F108"/>
    <mergeCell ref="F125:F126"/>
    <mergeCell ref="A112:E112"/>
    <mergeCell ref="A113:E113"/>
    <mergeCell ref="E116:G116"/>
    <mergeCell ref="E118:G118"/>
    <mergeCell ref="A116:D116"/>
    <mergeCell ref="A114:E114"/>
    <mergeCell ref="A115:E115"/>
    <mergeCell ref="A99:A101"/>
    <mergeCell ref="B99:B100"/>
    <mergeCell ref="D55:G55"/>
    <mergeCell ref="D70:G70"/>
    <mergeCell ref="F100:F101"/>
    <mergeCell ref="A70:A72"/>
    <mergeCell ref="F79:G79"/>
    <mergeCell ref="D99:G99"/>
    <mergeCell ref="F78:G78"/>
    <mergeCell ref="F77:G77"/>
    <mergeCell ref="A55:A57"/>
    <mergeCell ref="B55:B56"/>
    <mergeCell ref="C55:C56"/>
    <mergeCell ref="C99:C100"/>
    <mergeCell ref="G183:H183"/>
    <mergeCell ref="B70:B71"/>
    <mergeCell ref="C70:C71"/>
    <mergeCell ref="A111:E111"/>
    <mergeCell ref="E96:G96"/>
    <mergeCell ref="E97:G97"/>
    <mergeCell ref="A1:G1"/>
    <mergeCell ref="A2:G2"/>
    <mergeCell ref="A6:G6"/>
    <mergeCell ref="A5:B5"/>
    <mergeCell ref="D8:G8"/>
    <mergeCell ref="A8:A10"/>
    <mergeCell ref="B8:B10"/>
    <mergeCell ref="C8:C9"/>
    <mergeCell ref="A90:D90"/>
    <mergeCell ref="A91:D91"/>
    <mergeCell ref="A92:D92"/>
    <mergeCell ref="A93:D93"/>
    <mergeCell ref="A94:B94"/>
    <mergeCell ref="A168:B168"/>
    <mergeCell ref="A164:D164"/>
    <mergeCell ref="A165:D165"/>
    <mergeCell ref="A166:D166"/>
    <mergeCell ref="A167:D167"/>
  </mergeCells>
  <printOptions horizontalCentered="1"/>
  <pageMargins left="0.3937007874015748" right="0.2755905511811024" top="0.7" bottom="0.1968503937007874" header="0.5118110236220472" footer="0.45"/>
  <pageSetup horizontalDpi="300" verticalDpi="300" orientation="portrait" paperSize="9" scale="56" r:id="rId4"/>
  <rowBreaks count="2" manualBreakCount="2">
    <brk id="89" max="7" man="1"/>
    <brk id="163" max="7" man="1"/>
  </rowBreaks>
  <colBreaks count="1" manualBreakCount="1">
    <brk id="8" max="65535" man="1"/>
  </colBreaks>
  <ignoredErrors>
    <ignoredError sqref="C19 D25 D31 D59 F79 F76 D12 C80" formula="1"/>
    <ignoredError sqref="G18" evalError="1"/>
    <ignoredError sqref="B43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Durval Ferreira Bezerra Filho</dc:creator>
  <cp:keywords/>
  <dc:description/>
  <cp:lastModifiedBy>durvalfbf</cp:lastModifiedBy>
  <cp:lastPrinted>2012-12-05T13:44:21Z</cp:lastPrinted>
  <dcterms:created xsi:type="dcterms:W3CDTF">2010-04-09T15:53:13Z</dcterms:created>
  <dcterms:modified xsi:type="dcterms:W3CDTF">2012-12-05T13:44:53Z</dcterms:modified>
  <cp:category/>
  <cp:version/>
  <cp:contentType/>
  <cp:contentStatus/>
</cp:coreProperties>
</file>