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990" tabRatio="898" firstSheet="2" activeTab="13"/>
  </bookViews>
  <sheets>
    <sheet name="Anexo 1 _ BAL ORC" sheetId="1" r:id="rId1"/>
    <sheet name="Anexo 2 _ DP FUNC" sheetId="2" r:id="rId2"/>
    <sheet name="Anexo 3 _ RCL" sheetId="3" r:id="rId3"/>
    <sheet name="Anexo 4 _ PREVID " sheetId="4" r:id="rId4"/>
    <sheet name="Anexo 6 _ RES PRIM e NOM" sheetId="5" r:id="rId5"/>
    <sheet name="Anexo XII_PROJ AT REG GERAL HIP" sheetId="6" state="hidden" r:id="rId6"/>
    <sheet name="Anexo 7 _  RP" sheetId="7" r:id="rId7"/>
    <sheet name="Anexo 8 _ ENSINO" sheetId="8" r:id="rId8"/>
    <sheet name="Anexo 9 _ OP CRED" sheetId="9" r:id="rId9"/>
    <sheet name="Anexo 10 _ RPPS" sheetId="10" r:id="rId10"/>
    <sheet name="Anexo 11 _ AL ATIVOS" sheetId="11" r:id="rId11"/>
    <sheet name="Anexo 12 _ SAÚDE" sheetId="12" r:id="rId12"/>
    <sheet name="Anexo 13 _PPP" sheetId="13" r:id="rId13"/>
    <sheet name="Anexo 14 _ Simplificado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10Planilha_2TítCols_6_1" localSheetId="11">(#REF!,#REF!)</definedName>
    <definedName name="_10Planilha_2TítCols_6_1" localSheetId="12">(#REF!,#REF!)</definedName>
    <definedName name="_10Planilha_2TítCols_6_1" localSheetId="8">(#REF!,#REF!)</definedName>
    <definedName name="_10Planilha_2TítCols_6_1">(#REF!,#REF!)</definedName>
    <definedName name="_11Planilha_2TítLins_6_1" localSheetId="11">#REF!</definedName>
    <definedName name="_11Planilha_2TítLins_6_1" localSheetId="12">#REF!</definedName>
    <definedName name="_11Planilha_2TítLins_6_1" localSheetId="8">#REF!</definedName>
    <definedName name="_11Planilha_2TítLins_6_1">#REF!</definedName>
    <definedName name="_12Planilha_3ÁreaTotal_6_1" localSheetId="11">(#REF!,#REF!)</definedName>
    <definedName name="_12Planilha_3ÁreaTotal_6_1" localSheetId="12">(#REF!,#REF!)</definedName>
    <definedName name="_12Planilha_3ÁreaTotal_6_1" localSheetId="8">(#REF!,#REF!)</definedName>
    <definedName name="_12Planilha_3ÁreaTotal_6_1">(#REF!,#REF!)</definedName>
    <definedName name="_13Planilha_3CabGráfico_6_1" localSheetId="11">#REF!</definedName>
    <definedName name="_13Planilha_3CabGráfico_6_1" localSheetId="12">#REF!</definedName>
    <definedName name="_13Planilha_3CabGráfico_6_1" localSheetId="8">#REF!</definedName>
    <definedName name="_13Planilha_3CabGráfico_6_1">#REF!</definedName>
    <definedName name="_14Planilha_3TítCols_6_1" localSheetId="11">(#REF!,#REF!)</definedName>
    <definedName name="_14Planilha_3TítCols_6_1" localSheetId="12">(#REF!,#REF!)</definedName>
    <definedName name="_14Planilha_3TítCols_6_1" localSheetId="8">(#REF!,#REF!)</definedName>
    <definedName name="_14Planilha_3TítCols_6_1">(#REF!,#REF!)</definedName>
    <definedName name="_15Planilha_3TítLins_6_1" localSheetId="11">#REF!</definedName>
    <definedName name="_15Planilha_3TítLins_6_1" localSheetId="12">#REF!</definedName>
    <definedName name="_15Planilha_3TítLins_6_1" localSheetId="8">#REF!</definedName>
    <definedName name="_15Planilha_3TítLins_6_1">#REF!</definedName>
    <definedName name="_16Tabela_1___Déficit_da_Previdência_Social__RGPS_6_1" localSheetId="11">#REF!</definedName>
    <definedName name="_16Tabela_1___Déficit_da_Previdência_Social__RGPS_6_1" localSheetId="12">#REF!</definedName>
    <definedName name="_16Tabela_1___Déficit_da_Previdência_Social__RGPS_6_1" localSheetId="8">#REF!</definedName>
    <definedName name="_16Tabela_1___Déficit_da_Previdência_Social__RGPS_6_1">#REF!</definedName>
    <definedName name="_17Tabela_10___Resultado_Primário_do_Governo_Central_em_1999_6_1" localSheetId="11">#REF!</definedName>
    <definedName name="_17Tabela_10___Resultado_Primário_do_Governo_Central_em_1999_6_1" localSheetId="12">#REF!</definedName>
    <definedName name="_17Tabela_10___Resultado_Primário_do_Governo_Central_em_1999_6_1" localSheetId="8">#REF!</definedName>
    <definedName name="_17Tabela_10___Resultado_Primário_do_Governo_Central_em_1999_6_1">#REF!</definedName>
    <definedName name="_18Tabela_2___Contribuições_Previdenciárias_6_1" localSheetId="11">#REF!</definedName>
    <definedName name="_18Tabela_2___Contribuições_Previdenciárias_6_1" localSheetId="12">#REF!</definedName>
    <definedName name="_18Tabela_2___Contribuições_Previdenciárias_6_1" localSheetId="8">#REF!</definedName>
    <definedName name="_18Tabela_2___Contribuições_Previdenciárias_6_1">#REF!</definedName>
    <definedName name="_19Tabela_3___Benefícios__previsto_x_realizado_6_1" localSheetId="11">#REF!</definedName>
    <definedName name="_19Tabela_3___Benefícios__previsto_x_realizado_6_1" localSheetId="12">#REF!</definedName>
    <definedName name="_19Tabela_3___Benefícios__previsto_x_realizado_6_1" localSheetId="8">#REF!</definedName>
    <definedName name="_19Tabela_3___Benefícios__previsto_x_realizado_6_1">#REF!</definedName>
    <definedName name="_1Excel_BuiltIn_Print_Area_11_1" localSheetId="11">#REF!</definedName>
    <definedName name="_1Excel_BuiltIn_Print_Area_11_1" localSheetId="12">#REF!</definedName>
    <definedName name="_1Excel_BuiltIn_Print_Area_11_1" localSheetId="8">#REF!</definedName>
    <definedName name="_1Excel_BuiltIn_Print_Area_11_1">#REF!</definedName>
    <definedName name="_20Tabela_4___Receitas_Administradas_pela_SRF__previsto_x_realizado_6_1" localSheetId="11">#REF!</definedName>
    <definedName name="_20Tabela_4___Receitas_Administradas_pela_SRF__previsto_x_realizado_6_1" localSheetId="12">#REF!</definedName>
    <definedName name="_20Tabela_4___Receitas_Administradas_pela_SRF__previsto_x_realizado_6_1" localSheetId="8">#REF!</definedName>
    <definedName name="_20Tabela_4___Receitas_Administradas_pela_SRF__previsto_x_realizado_6_1">#REF!</definedName>
    <definedName name="_21Tabela_5___Receitas_Administradas_em_Agosto_6_1" localSheetId="11">#REF!</definedName>
    <definedName name="_21Tabela_5___Receitas_Administradas_em_Agosto_6_1" localSheetId="12">#REF!</definedName>
    <definedName name="_21Tabela_5___Receitas_Administradas_em_Agosto_6_1" localSheetId="8">#REF!</definedName>
    <definedName name="_21Tabela_5___Receitas_Administradas_em_Agosto_6_1">#REF!</definedName>
    <definedName name="_22Tabela_6___Receitas_Diretamente_Arrecadadas_6_1" localSheetId="11">#REF!</definedName>
    <definedName name="_22Tabela_6___Receitas_Diretamente_Arrecadadas_6_1" localSheetId="12">#REF!</definedName>
    <definedName name="_22Tabela_6___Receitas_Diretamente_Arrecadadas_6_1" localSheetId="8">#REF!</definedName>
    <definedName name="_22Tabela_6___Receitas_Diretamente_Arrecadadas_6_1">#REF!</definedName>
    <definedName name="_23Tabela_7___Déficit_da_Previdência_Social_em_1999_6_1" localSheetId="11">#REF!</definedName>
    <definedName name="_23Tabela_7___Déficit_da_Previdência_Social_em_1999_6_1" localSheetId="12">#REF!</definedName>
    <definedName name="_23Tabela_7___Déficit_da_Previdência_Social_em_1999_6_1" localSheetId="8">#REF!</definedName>
    <definedName name="_23Tabela_7___Déficit_da_Previdência_Social_em_1999_6_1">#REF!</definedName>
    <definedName name="_24Tabela_8___Receitas_Administradas__revisão_da_previsão_6_1" localSheetId="11">#REF!</definedName>
    <definedName name="_24Tabela_8___Receitas_Administradas__revisão_da_previsão_6_1" localSheetId="12">#REF!</definedName>
    <definedName name="_24Tabela_8___Receitas_Administradas__revisão_da_previsão_6_1" localSheetId="8">#REF!</definedName>
    <definedName name="_24Tabela_8___Receitas_Administradas__revisão_da_previsão_6_1">#REF!</definedName>
    <definedName name="_25Tabela_9___Resultado_Primário_de_1999_6_1" localSheetId="11">#REF!</definedName>
    <definedName name="_25Tabela_9___Resultado_Primário_de_1999_6_1" localSheetId="12">#REF!</definedName>
    <definedName name="_25Tabela_9___Resultado_Primário_de_1999_6_1" localSheetId="8">#REF!</definedName>
    <definedName name="_25Tabela_9___Resultado_Primário_de_1999_6_1">#REF!</definedName>
    <definedName name="_2Ganhos_e_perdas_de_receita_6_1" localSheetId="11">#REF!</definedName>
    <definedName name="_2Ganhos_e_perdas_de_receita_6_1" localSheetId="12">#REF!</definedName>
    <definedName name="_2Ganhos_e_perdas_de_receita_6_1" localSheetId="8">#REF!</definedName>
    <definedName name="_2Ganhos_e_perdas_de_receita_6_1">#REF!</definedName>
    <definedName name="_3Ganhos_e_Perdas_de_Receita_99_6_1" localSheetId="11">#REF!</definedName>
    <definedName name="_3Ganhos_e_Perdas_de_Receita_99_6_1" localSheetId="12">#REF!</definedName>
    <definedName name="_3Ganhos_e_Perdas_de_Receita_99_6_1" localSheetId="8">#REF!</definedName>
    <definedName name="_3Ganhos_e_Perdas_de_Receita_99_6_1">#REF!</definedName>
    <definedName name="_4Planilha_1ÁreaTotal_6_1" localSheetId="11">(#REF!,#REF!)</definedName>
    <definedName name="_4Planilha_1ÁreaTotal_6_1" localSheetId="12">(#REF!,#REF!)</definedName>
    <definedName name="_4Planilha_1ÁreaTotal_6_1" localSheetId="8">(#REF!,#REF!)</definedName>
    <definedName name="_4Planilha_1ÁreaTotal_6_1">(#REF!,#REF!)</definedName>
    <definedName name="_5Planilha_1CabGráfico_6_1" localSheetId="11">#REF!</definedName>
    <definedName name="_5Planilha_1CabGráfico_6_1" localSheetId="12">#REF!</definedName>
    <definedName name="_5Planilha_1CabGráfico_6_1" localSheetId="8">#REF!</definedName>
    <definedName name="_5Planilha_1CabGráfico_6_1">#REF!</definedName>
    <definedName name="_6Planilha_1TítCols_6_1" localSheetId="11">(#REF!,#REF!)</definedName>
    <definedName name="_6Planilha_1TítCols_6_1" localSheetId="12">(#REF!,#REF!)</definedName>
    <definedName name="_6Planilha_1TítCols_6_1" localSheetId="8">(#REF!,#REF!)</definedName>
    <definedName name="_6Planilha_1TítCols_6_1">(#REF!,#REF!)</definedName>
    <definedName name="_7Planilha_1TítLins_6_1" localSheetId="11">#REF!</definedName>
    <definedName name="_7Planilha_1TítLins_6_1" localSheetId="12">#REF!</definedName>
    <definedName name="_7Planilha_1TítLins_6_1" localSheetId="8">#REF!</definedName>
    <definedName name="_7Planilha_1TítLins_6_1">#REF!</definedName>
    <definedName name="_8Planilha_2ÁreaTotal_6_1" localSheetId="11">(#REF!,#REF!)</definedName>
    <definedName name="_8Planilha_2ÁreaTotal_6_1" localSheetId="12">(#REF!,#REF!)</definedName>
    <definedName name="_8Planilha_2ÁreaTotal_6_1" localSheetId="8">(#REF!,#REF!)</definedName>
    <definedName name="_8Planilha_2ÁreaTotal_6_1">(#REF!,#REF!)</definedName>
    <definedName name="_9Planilha_2CabGráfico_6_1" localSheetId="11">#REF!</definedName>
    <definedName name="_9Planilha_2CabGráfico_6_1" localSheetId="12">#REF!</definedName>
    <definedName name="_9Planilha_2CabGráfico_6_1" localSheetId="8">#REF!</definedName>
    <definedName name="_9Planilha_2CabGráfico_6_1">#REF!</definedName>
    <definedName name="_xlfn.BAHTTEXT" hidden="1">#NAME?</definedName>
    <definedName name="_xlfn.IFERROR" hidden="1">#NAME?</definedName>
    <definedName name="_xlnm.Print_Area" localSheetId="0">'Anexo 1 _ BAL ORC'!$A$1:$K$102</definedName>
    <definedName name="_xlnm.Print_Area" localSheetId="9">'Anexo 10 _ RPPS'!$I$1:$M$184</definedName>
    <definedName name="_xlnm.Print_Area" localSheetId="10">'Anexo 11 _ AL ATIVOS'!$A$1:$I$40</definedName>
    <definedName name="_xlnm.Print_Area" localSheetId="11">'Anexo 12 _ SAÚDE'!$A$1:$L$171</definedName>
    <definedName name="_xlnm.Print_Area" localSheetId="12">'Anexo 13 _PPP'!$A$1:$L$45</definedName>
    <definedName name="_xlnm.Print_Area" localSheetId="13">'Anexo 14 _ Simplificado'!$A$1:$E$104</definedName>
    <definedName name="_xlnm.Print_Area" localSheetId="1">'Anexo 2 _ DP FUNC'!$A$1:$M$150</definedName>
    <definedName name="_xlnm.Print_Area" localSheetId="2">'Anexo 3 _ RCL'!$A$1:$Q$51</definedName>
    <definedName name="_xlnm.Print_Area" localSheetId="3">'Anexo 4 _ PREVID '!$A$1:$J$164</definedName>
    <definedName name="_xlnm.Print_Area" localSheetId="4">'Anexo 6 _ RES PRIM e NOM'!$A$1:$P$129</definedName>
    <definedName name="_xlnm.Print_Area" localSheetId="6">'Anexo 7 _  RP'!$A$1:$M$77</definedName>
    <definedName name="_xlnm.Print_Area" localSheetId="7">'Anexo 8 _ ENSINO'!$A$1:$I$179</definedName>
    <definedName name="_xlnm.Print_Area" localSheetId="8">'Anexo 9 _ OP CRED'!$A$1:$F$37</definedName>
    <definedName name="Detalhes_do_Demonstrativo_MDE" localSheetId="11">#REF!</definedName>
    <definedName name="Detalhes_do_Demonstrativo_MDE" localSheetId="12">#REF!</definedName>
    <definedName name="Detalhes_do_Demonstrativo_MDE" localSheetId="8">#REF!</definedName>
    <definedName name="Detalhes_do_Demonstrativo_MDE">#REF!</definedName>
    <definedName name="Detalhes_do_Demonstrativo_MDE_10" localSheetId="11">#REF!</definedName>
    <definedName name="Detalhes_do_Demonstrativo_MDE_10" localSheetId="12">#REF!</definedName>
    <definedName name="Detalhes_do_Demonstrativo_MDE_10" localSheetId="7">'Anexo 8 _ ENSINO'!#REF!</definedName>
    <definedName name="Detalhes_do_Demonstrativo_MDE_10" localSheetId="8">#REF!</definedName>
    <definedName name="Detalhes_do_Demonstrativo_MDE_10">#REF!</definedName>
    <definedName name="Detalhes_do_Demonstrativo_MDE_11" localSheetId="11">'[2]Anexo X _ ENSINO'!#REF!</definedName>
    <definedName name="Detalhes_do_Demonstrativo_MDE_11" localSheetId="12">'[2]Anexo X _ ENSINO'!#REF!</definedName>
    <definedName name="Detalhes_do_Demonstrativo_MDE_11" localSheetId="7">'[1]Anexo X _ ENSINO'!#REF!</definedName>
    <definedName name="Detalhes_do_Demonstrativo_MDE_11" localSheetId="8">'[2]Anexo X _ ENSINO'!#REF!</definedName>
    <definedName name="Detalhes_do_Demonstrativo_MDE_11">'[2]Anexo X _ ENSINO'!#REF!</definedName>
    <definedName name="Detalhes_do_Demonstrativo_MDE_12" localSheetId="11">'[4]Anexo X _ ENSINO'!#REF!</definedName>
    <definedName name="Detalhes_do_Demonstrativo_MDE_12" localSheetId="12">'[4]Anexo X _ ENSINO'!#REF!</definedName>
    <definedName name="Detalhes_do_Demonstrativo_MDE_12" localSheetId="7">'[3]Anexo X _ ENSINO'!#REF!</definedName>
    <definedName name="Detalhes_do_Demonstrativo_MDE_12" localSheetId="8">'[4]Anexo X _ ENSINO'!#REF!</definedName>
    <definedName name="Detalhes_do_Demonstrativo_MDE_12">'[4]Anexo X _ ENSINO'!#REF!</definedName>
    <definedName name="Detalhes_do_Demonstrativo_MDE_13" localSheetId="11">'[2]Anexo X _ ENSINO'!#REF!</definedName>
    <definedName name="Detalhes_do_Demonstrativo_MDE_13" localSheetId="12">'[2]Anexo X _ ENSINO'!#REF!</definedName>
    <definedName name="Detalhes_do_Demonstrativo_MDE_13" localSheetId="7">'[1]Anexo X _ ENSINO'!#REF!</definedName>
    <definedName name="Detalhes_do_Demonstrativo_MDE_13" localSheetId="8">'[2]Anexo X _ ENSINO'!#REF!</definedName>
    <definedName name="Detalhes_do_Demonstrativo_MDE_13">'[2]Anexo X _ ENSINO'!#REF!</definedName>
    <definedName name="Detalhes_do_Demonstrativo_MDE_14" localSheetId="11">'[6]Anexo X _ ENSINO'!#REF!</definedName>
    <definedName name="Detalhes_do_Demonstrativo_MDE_14" localSheetId="12">'[6]Anexo X _ ENSINO'!#REF!</definedName>
    <definedName name="Detalhes_do_Demonstrativo_MDE_14" localSheetId="7">'[5]Anexo X _ ENSINO'!#REF!</definedName>
    <definedName name="Detalhes_do_Demonstrativo_MDE_14" localSheetId="8">'[6]Anexo X _ ENSINO'!#REF!</definedName>
    <definedName name="Detalhes_do_Demonstrativo_MDE_14">'[6]Anexo X _ ENSINO'!#REF!</definedName>
    <definedName name="Detalhes_do_Demonstrativo_MDE_15" localSheetId="11">'[8]Anexo X _ ENSINO'!#REF!</definedName>
    <definedName name="Detalhes_do_Demonstrativo_MDE_15" localSheetId="12">'[8]Anexo X _ ENSINO'!#REF!</definedName>
    <definedName name="Detalhes_do_Demonstrativo_MDE_15" localSheetId="7">'[7]Anexo X _ ENSINO'!#REF!</definedName>
    <definedName name="Detalhes_do_Demonstrativo_MDE_15" localSheetId="8">'[8]Anexo X _ ENSINO'!#REF!</definedName>
    <definedName name="Detalhes_do_Demonstrativo_MDE_15">'[8]Anexo X _ ENSINO'!#REF!</definedName>
    <definedName name="Detalhes_do_Demonstrativo_MDE_3" localSheetId="11">#REF!</definedName>
    <definedName name="Detalhes_do_Demonstrativo_MDE_3" localSheetId="12">#REF!</definedName>
    <definedName name="Detalhes_do_Demonstrativo_MDE_3" localSheetId="8">#REF!</definedName>
    <definedName name="Detalhes_do_Demonstrativo_MDE_3">#REF!</definedName>
    <definedName name="Detalhes_do_Demonstrativo_MDE_4" localSheetId="11">'[10]Anexo X _ ENSINO'!#REF!</definedName>
    <definedName name="Detalhes_do_Demonstrativo_MDE_4" localSheetId="12">'[10]Anexo X _ ENSINO'!#REF!</definedName>
    <definedName name="Detalhes_do_Demonstrativo_MDE_4" localSheetId="7">'[9]Anexo X _ ENSINO'!#REF!</definedName>
    <definedName name="Detalhes_do_Demonstrativo_MDE_4" localSheetId="8">'[10]Anexo X _ ENSINO'!#REF!</definedName>
    <definedName name="Detalhes_do_Demonstrativo_MDE_4">'[10]Anexo X _ ENSINO'!#REF!</definedName>
    <definedName name="Detalhes_do_Demonstrativo_MDE_7" localSheetId="11">'[8]Anexo X _ ENSINO'!#REF!</definedName>
    <definedName name="Detalhes_do_Demonstrativo_MDE_7" localSheetId="12">'[8]Anexo X _ ENSINO'!#REF!</definedName>
    <definedName name="Detalhes_do_Demonstrativo_MDE_7" localSheetId="7">'[7]Anexo X _ ENSINO'!#REF!</definedName>
    <definedName name="Detalhes_do_Demonstrativo_MDE_7" localSheetId="8">'[8]Anexo X _ ENSINO'!#REF!</definedName>
    <definedName name="Detalhes_do_Demonstrativo_MDE_7">'[8]Anexo X _ ENSINO'!#REF!</definedName>
    <definedName name="Detalhes_do_Demonstrativo_MDE_8" localSheetId="11">'[8]Anexo X _ ENSINO'!#REF!</definedName>
    <definedName name="Detalhes_do_Demonstrativo_MDE_8" localSheetId="12">'[8]Anexo X _ ENSINO'!#REF!</definedName>
    <definedName name="Detalhes_do_Demonstrativo_MDE_8" localSheetId="7">'[7]Anexo X _ ENSINO'!#REF!</definedName>
    <definedName name="Detalhes_do_Demonstrativo_MDE_8" localSheetId="8">'[8]Anexo X _ ENSINO'!#REF!</definedName>
    <definedName name="Detalhes_do_Demonstrativo_MDE_8">'[8]Anexo X _ ENSINO'!#REF!</definedName>
    <definedName name="Detalhes_do_Demonstrativo_MDE_9" localSheetId="11">'[8]Anexo X _ ENSINO'!#REF!</definedName>
    <definedName name="Detalhes_do_Demonstrativo_MDE_9" localSheetId="12">'[8]Anexo X _ ENSINO'!#REF!</definedName>
    <definedName name="Detalhes_do_Demonstrativo_MDE_9" localSheetId="7">'[7]Anexo X _ ENSINO'!#REF!</definedName>
    <definedName name="Detalhes_do_Demonstrativo_MDE_9" localSheetId="8">'[8]Anexo X _ ENSINO'!#REF!</definedName>
    <definedName name="Detalhes_do_Demonstrativo_MDE_9">'[8]Anexo X _ ENSINO'!#REF!</definedName>
    <definedName name="Excel_BuiltIn_Print_Area_12" localSheetId="11">#REF!</definedName>
    <definedName name="Excel_BuiltIn_Print_Area_12" localSheetId="12">#REF!</definedName>
    <definedName name="Excel_BuiltIn_Print_Area_12" localSheetId="8">#REF!</definedName>
    <definedName name="Excel_BuiltIn_Print_Area_12">#REF!</definedName>
    <definedName name="Excel_BuiltIn_Print_Area_13" localSheetId="11">#REF!</definedName>
    <definedName name="Excel_BuiltIn_Print_Area_13" localSheetId="12">#REF!</definedName>
    <definedName name="Excel_BuiltIn_Print_Area_13" localSheetId="8">#REF!</definedName>
    <definedName name="Excel_BuiltIn_Print_Area_13">#REF!</definedName>
    <definedName name="Excel_BuiltIn_Print_Area_7" localSheetId="11">#REF!</definedName>
    <definedName name="Excel_BuiltIn_Print_Area_7" localSheetId="12">#REF!</definedName>
    <definedName name="Excel_BuiltIn_Print_Area_7" localSheetId="8">#REF!</definedName>
    <definedName name="Excel_BuiltIn_Print_Area_7">#REF!</definedName>
    <definedName name="Ganhos_e_perdas_de_receita" localSheetId="11">#REF!</definedName>
    <definedName name="Ganhos_e_perdas_de_receita" localSheetId="12">#REF!</definedName>
    <definedName name="Ganhos_e_perdas_de_receita" localSheetId="8">#REF!</definedName>
    <definedName name="Ganhos_e_perdas_de_receita">#REF!</definedName>
    <definedName name="Ganhos_e_perdas_de_receita_11" localSheetId="11">#REF!</definedName>
    <definedName name="Ganhos_e_perdas_de_receita_11" localSheetId="12">#REF!</definedName>
    <definedName name="Ganhos_e_perdas_de_receita_11" localSheetId="8">#REF!</definedName>
    <definedName name="Ganhos_e_perdas_de_receita_11">#REF!</definedName>
    <definedName name="Ganhos_e_perdas_de_receita_12" localSheetId="11">#REF!</definedName>
    <definedName name="Ganhos_e_perdas_de_receita_12" localSheetId="12">#REF!</definedName>
    <definedName name="Ganhos_e_perdas_de_receita_12" localSheetId="8">#REF!</definedName>
    <definedName name="Ganhos_e_perdas_de_receita_12">#REF!</definedName>
    <definedName name="Ganhos_e_perdas_de_receita_13" localSheetId="11">#REF!</definedName>
    <definedName name="Ganhos_e_perdas_de_receita_13" localSheetId="12">#REF!</definedName>
    <definedName name="Ganhos_e_perdas_de_receita_13" localSheetId="8">#REF!</definedName>
    <definedName name="Ganhos_e_perdas_de_receita_13">#REF!</definedName>
    <definedName name="Ganhos_e_perdas_de_receita_14" localSheetId="11">#REF!</definedName>
    <definedName name="Ganhos_e_perdas_de_receita_14" localSheetId="12">#REF!</definedName>
    <definedName name="Ganhos_e_perdas_de_receita_14" localSheetId="8">#REF!</definedName>
    <definedName name="Ganhos_e_perdas_de_receita_14">#REF!</definedName>
    <definedName name="Ganhos_e_perdas_de_receita_2" localSheetId="11">#REF!</definedName>
    <definedName name="Ganhos_e_perdas_de_receita_2" localSheetId="12">#REF!</definedName>
    <definedName name="Ganhos_e_perdas_de_receita_2" localSheetId="8">#REF!</definedName>
    <definedName name="Ganhos_e_perdas_de_receita_2">#REF!</definedName>
    <definedName name="Ganhos_e_perdas_de_receita_4" localSheetId="11">#REF!</definedName>
    <definedName name="Ganhos_e_perdas_de_receita_4" localSheetId="12">#REF!</definedName>
    <definedName name="Ganhos_e_perdas_de_receita_4" localSheetId="8">#REF!</definedName>
    <definedName name="Ganhos_e_perdas_de_receita_4">#REF!</definedName>
    <definedName name="Ganhos_e_perdas_de_receita_6" localSheetId="11">#REF!</definedName>
    <definedName name="Ganhos_e_perdas_de_receita_6" localSheetId="12">#REF!</definedName>
    <definedName name="Ganhos_e_perdas_de_receita_6" localSheetId="8">#REF!</definedName>
    <definedName name="Ganhos_e_perdas_de_receita_6">#REF!</definedName>
    <definedName name="Ganhos_e_perdas_de_receita_8" localSheetId="11">#REF!</definedName>
    <definedName name="Ganhos_e_perdas_de_receita_8" localSheetId="12">#REF!</definedName>
    <definedName name="Ganhos_e_perdas_de_receita_8" localSheetId="8">#REF!</definedName>
    <definedName name="Ganhos_e_perdas_de_receita_8">#REF!</definedName>
    <definedName name="Ganhos_e_Perdas_de_Receita_99" localSheetId="11">#REF!</definedName>
    <definedName name="Ganhos_e_Perdas_de_Receita_99" localSheetId="12">#REF!</definedName>
    <definedName name="Ganhos_e_Perdas_de_Receita_99" localSheetId="8">#REF!</definedName>
    <definedName name="Ganhos_e_Perdas_de_Receita_99">#REF!</definedName>
    <definedName name="Ganhos_e_Perdas_de_Receita_99_11" localSheetId="11">#REF!</definedName>
    <definedName name="Ganhos_e_Perdas_de_Receita_99_11" localSheetId="12">#REF!</definedName>
    <definedName name="Ganhos_e_Perdas_de_Receita_99_11" localSheetId="8">#REF!</definedName>
    <definedName name="Ganhos_e_Perdas_de_Receita_99_11">#REF!</definedName>
    <definedName name="Ganhos_e_Perdas_de_Receita_99_12" localSheetId="11">#REF!</definedName>
    <definedName name="Ganhos_e_Perdas_de_Receita_99_12" localSheetId="12">#REF!</definedName>
    <definedName name="Ganhos_e_Perdas_de_Receita_99_12" localSheetId="8">#REF!</definedName>
    <definedName name="Ganhos_e_Perdas_de_Receita_99_12">#REF!</definedName>
    <definedName name="Ganhos_e_Perdas_de_Receita_99_13" localSheetId="11">#REF!</definedName>
    <definedName name="Ganhos_e_Perdas_de_Receita_99_13" localSheetId="12">#REF!</definedName>
    <definedName name="Ganhos_e_Perdas_de_Receita_99_13" localSheetId="8">#REF!</definedName>
    <definedName name="Ganhos_e_Perdas_de_Receita_99_13">#REF!</definedName>
    <definedName name="Ganhos_e_Perdas_de_Receita_99_14" localSheetId="11">#REF!</definedName>
    <definedName name="Ganhos_e_Perdas_de_Receita_99_14" localSheetId="12">#REF!</definedName>
    <definedName name="Ganhos_e_Perdas_de_Receita_99_14" localSheetId="8">#REF!</definedName>
    <definedName name="Ganhos_e_Perdas_de_Receita_99_14">#REF!</definedName>
    <definedName name="Ganhos_e_Perdas_de_Receita_99_2" localSheetId="11">#REF!</definedName>
    <definedName name="Ganhos_e_Perdas_de_Receita_99_2" localSheetId="12">#REF!</definedName>
    <definedName name="Ganhos_e_Perdas_de_Receita_99_2" localSheetId="8">#REF!</definedName>
    <definedName name="Ganhos_e_Perdas_de_Receita_99_2">#REF!</definedName>
    <definedName name="Ganhos_e_Perdas_de_Receita_99_4" localSheetId="11">#REF!</definedName>
    <definedName name="Ganhos_e_Perdas_de_Receita_99_4" localSheetId="12">#REF!</definedName>
    <definedName name="Ganhos_e_Perdas_de_Receita_99_4" localSheetId="8">#REF!</definedName>
    <definedName name="Ganhos_e_Perdas_de_Receita_99_4">#REF!</definedName>
    <definedName name="Ganhos_e_Perdas_de_Receita_99_6" localSheetId="11">#REF!</definedName>
    <definedName name="Ganhos_e_Perdas_de_Receita_99_6" localSheetId="12">#REF!</definedName>
    <definedName name="Ganhos_e_Perdas_de_Receita_99_6" localSheetId="8">#REF!</definedName>
    <definedName name="Ganhos_e_Perdas_de_Receita_99_6">#REF!</definedName>
    <definedName name="Ganhos_e_Perdas_de_Receita_99_8" localSheetId="11">#REF!</definedName>
    <definedName name="Ganhos_e_Perdas_de_Receita_99_8" localSheetId="12">#REF!</definedName>
    <definedName name="Ganhos_e_Perdas_de_Receita_99_8" localSheetId="8">#REF!</definedName>
    <definedName name="Ganhos_e_Perdas_de_Receita_99_8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1">(#REF!,#REF!)</definedName>
    <definedName name="Planilha_1ÁreaTotal" localSheetId="12">(#REF!,#REF!)</definedName>
    <definedName name="Planilha_1ÁreaTotal" localSheetId="8">(#REF!,#REF!)</definedName>
    <definedName name="Planilha_1ÁreaTotal">(#REF!,#REF!)</definedName>
    <definedName name="Planilha_1ÁreaTotal_11" localSheetId="11">(#REF!,#REF!)</definedName>
    <definedName name="Planilha_1ÁreaTotal_11" localSheetId="12">(#REF!,#REF!)</definedName>
    <definedName name="Planilha_1ÁreaTotal_11" localSheetId="8">(#REF!,#REF!)</definedName>
    <definedName name="Planilha_1ÁreaTotal_11">(#REF!,#REF!)</definedName>
    <definedName name="Planilha_1ÁreaTotal_12" localSheetId="11">(#REF!,#REF!)</definedName>
    <definedName name="Planilha_1ÁreaTotal_12" localSheetId="12">(#REF!,#REF!)</definedName>
    <definedName name="Planilha_1ÁreaTotal_12" localSheetId="8">(#REF!,#REF!)</definedName>
    <definedName name="Planilha_1ÁreaTotal_12">(#REF!,#REF!)</definedName>
    <definedName name="Planilha_1ÁreaTotal_13" localSheetId="11">(#REF!,#REF!)</definedName>
    <definedName name="Planilha_1ÁreaTotal_13" localSheetId="12">(#REF!,#REF!)</definedName>
    <definedName name="Planilha_1ÁreaTotal_13" localSheetId="8">(#REF!,#REF!)</definedName>
    <definedName name="Planilha_1ÁreaTotal_13">(#REF!,#REF!)</definedName>
    <definedName name="Planilha_1ÁreaTotal_14" localSheetId="11">(#REF!,#REF!)</definedName>
    <definedName name="Planilha_1ÁreaTotal_14" localSheetId="12">(#REF!,#REF!)</definedName>
    <definedName name="Planilha_1ÁreaTotal_14" localSheetId="8">(#REF!,#REF!)</definedName>
    <definedName name="Planilha_1ÁreaTotal_14">(#REF!,#REF!)</definedName>
    <definedName name="Planilha_1ÁreaTotal_2" localSheetId="11">(#REF!,#REF!)</definedName>
    <definedName name="Planilha_1ÁreaTotal_2" localSheetId="12">(#REF!,#REF!)</definedName>
    <definedName name="Planilha_1ÁreaTotal_2" localSheetId="8">(#REF!,#REF!)</definedName>
    <definedName name="Planilha_1ÁreaTotal_2">(#REF!,#REF!)</definedName>
    <definedName name="Planilha_1ÁreaTotal_4" localSheetId="11">(#REF!,#REF!)</definedName>
    <definedName name="Planilha_1ÁreaTotal_4" localSheetId="12">(#REF!,#REF!)</definedName>
    <definedName name="Planilha_1ÁreaTotal_4" localSheetId="8">(#REF!,#REF!)</definedName>
    <definedName name="Planilha_1ÁreaTotal_4">(#REF!,#REF!)</definedName>
    <definedName name="Planilha_1ÁreaTotal_6" localSheetId="11">#REF!,#REF!</definedName>
    <definedName name="Planilha_1ÁreaTotal_6" localSheetId="12">#REF!,#REF!</definedName>
    <definedName name="Planilha_1ÁreaTotal_6" localSheetId="8">#REF!,#REF!</definedName>
    <definedName name="Planilha_1ÁreaTotal_6">#REF!,#REF!</definedName>
    <definedName name="Planilha_1ÁreaTotal_7" localSheetId="11">(#REF!,#REF!)</definedName>
    <definedName name="Planilha_1ÁreaTotal_7" localSheetId="12">(#REF!,#REF!)</definedName>
    <definedName name="Planilha_1ÁreaTotal_7" localSheetId="8">(#REF!,#REF!)</definedName>
    <definedName name="Planilha_1ÁreaTotal_7">(#REF!,#REF!)</definedName>
    <definedName name="Planilha_1ÁreaTotal_8" localSheetId="11">#REF!,#REF!</definedName>
    <definedName name="Planilha_1ÁreaTotal_8" localSheetId="12">#REF!,#REF!</definedName>
    <definedName name="Planilha_1ÁreaTotal_8" localSheetId="7">'[11]Anexo IX _ RP'!#REF!,'[11]Anexo IX _ RP'!#REF!</definedName>
    <definedName name="Planilha_1ÁreaTotal_8" localSheetId="8">#REF!,#REF!</definedName>
    <definedName name="Planilha_1ÁreaTotal_8">#REF!,#REF!</definedName>
    <definedName name="Planilha_1ÁreaTotal_9" localSheetId="11">(#REF!,#REF!)</definedName>
    <definedName name="Planilha_1ÁreaTotal_9" localSheetId="12">(#REF!,#REF!)</definedName>
    <definedName name="Planilha_1ÁreaTotal_9" localSheetId="8">(#REF!,#REF!)</definedName>
    <definedName name="Planilha_1ÁreaTotal_9">(#REF!,#REF!)</definedName>
    <definedName name="Planilha_1CabGráfico" localSheetId="11">#REF!</definedName>
    <definedName name="Planilha_1CabGráfico" localSheetId="12">#REF!</definedName>
    <definedName name="Planilha_1CabGráfico" localSheetId="8">#REF!</definedName>
    <definedName name="Planilha_1CabGráfico">#REF!</definedName>
    <definedName name="Planilha_1CabGráfico_11" localSheetId="11">#REF!</definedName>
    <definedName name="Planilha_1CabGráfico_11" localSheetId="12">#REF!</definedName>
    <definedName name="Planilha_1CabGráfico_11" localSheetId="8">#REF!</definedName>
    <definedName name="Planilha_1CabGráfico_11">#REF!</definedName>
    <definedName name="Planilha_1CabGráfico_12" localSheetId="11">#REF!</definedName>
    <definedName name="Planilha_1CabGráfico_12" localSheetId="12">#REF!</definedName>
    <definedName name="Planilha_1CabGráfico_12" localSheetId="8">#REF!</definedName>
    <definedName name="Planilha_1CabGráfico_12">#REF!</definedName>
    <definedName name="Planilha_1CabGráfico_13" localSheetId="11">#REF!</definedName>
    <definedName name="Planilha_1CabGráfico_13" localSheetId="12">#REF!</definedName>
    <definedName name="Planilha_1CabGráfico_13" localSheetId="8">#REF!</definedName>
    <definedName name="Planilha_1CabGráfico_13">#REF!</definedName>
    <definedName name="Planilha_1CabGráfico_14" localSheetId="11">#REF!</definedName>
    <definedName name="Planilha_1CabGráfico_14" localSheetId="12">#REF!</definedName>
    <definedName name="Planilha_1CabGráfico_14" localSheetId="8">#REF!</definedName>
    <definedName name="Planilha_1CabGráfico_14">#REF!</definedName>
    <definedName name="Planilha_1CabGráfico_2" localSheetId="11">#REF!</definedName>
    <definedName name="Planilha_1CabGráfico_2" localSheetId="12">#REF!</definedName>
    <definedName name="Planilha_1CabGráfico_2" localSheetId="8">#REF!</definedName>
    <definedName name="Planilha_1CabGráfico_2">#REF!</definedName>
    <definedName name="Planilha_1CabGráfico_4" localSheetId="11">#REF!</definedName>
    <definedName name="Planilha_1CabGráfico_4" localSheetId="12">#REF!</definedName>
    <definedName name="Planilha_1CabGráfico_4" localSheetId="8">#REF!</definedName>
    <definedName name="Planilha_1CabGráfico_4">#REF!</definedName>
    <definedName name="Planilha_1CabGráfico_6" localSheetId="11">#REF!</definedName>
    <definedName name="Planilha_1CabGráfico_6" localSheetId="12">#REF!</definedName>
    <definedName name="Planilha_1CabGráfico_6" localSheetId="8">#REF!</definedName>
    <definedName name="Planilha_1CabGráfico_6">#REF!</definedName>
    <definedName name="Planilha_1CabGráfico_7" localSheetId="11">#REF!</definedName>
    <definedName name="Planilha_1CabGráfico_7" localSheetId="12">#REF!</definedName>
    <definedName name="Planilha_1CabGráfico_7" localSheetId="8">#REF!</definedName>
    <definedName name="Planilha_1CabGráfico_7">#REF!</definedName>
    <definedName name="Planilha_1CabGráfico_8" localSheetId="11">#REF!</definedName>
    <definedName name="Planilha_1CabGráfico_8" localSheetId="12">#REF!</definedName>
    <definedName name="Planilha_1CabGráfico_8" localSheetId="7">'[11]Anexo IX _ RP'!#REF!</definedName>
    <definedName name="Planilha_1CabGráfico_8" localSheetId="8">#REF!</definedName>
    <definedName name="Planilha_1CabGráfico_8">#REF!</definedName>
    <definedName name="Planilha_1CabGráfico_9" localSheetId="11">#REF!</definedName>
    <definedName name="Planilha_1CabGráfico_9" localSheetId="12">#REF!</definedName>
    <definedName name="Planilha_1CabGráfico_9" localSheetId="8">#REF!</definedName>
    <definedName name="Planilha_1CabGráfico_9">#REF!</definedName>
    <definedName name="Planilha_1TítCols" localSheetId="11">(#REF!,#REF!)</definedName>
    <definedName name="Planilha_1TítCols" localSheetId="12">(#REF!,#REF!)</definedName>
    <definedName name="Planilha_1TítCols" localSheetId="8">(#REF!,#REF!)</definedName>
    <definedName name="Planilha_1TítCols">(#REF!,#REF!)</definedName>
    <definedName name="Planilha_1TítCols_11" localSheetId="11">(#REF!,#REF!)</definedName>
    <definedName name="Planilha_1TítCols_11" localSheetId="12">(#REF!,#REF!)</definedName>
    <definedName name="Planilha_1TítCols_11" localSheetId="8">(#REF!,#REF!)</definedName>
    <definedName name="Planilha_1TítCols_11">(#REF!,#REF!)</definedName>
    <definedName name="Planilha_1TítCols_12" localSheetId="11">(#REF!,#REF!)</definedName>
    <definedName name="Planilha_1TítCols_12" localSheetId="12">(#REF!,#REF!)</definedName>
    <definedName name="Planilha_1TítCols_12" localSheetId="8">(#REF!,#REF!)</definedName>
    <definedName name="Planilha_1TítCols_12">(#REF!,#REF!)</definedName>
    <definedName name="Planilha_1TítCols_13" localSheetId="11">(#REF!,#REF!)</definedName>
    <definedName name="Planilha_1TítCols_13" localSheetId="12">(#REF!,#REF!)</definedName>
    <definedName name="Planilha_1TítCols_13" localSheetId="8">(#REF!,#REF!)</definedName>
    <definedName name="Planilha_1TítCols_13">(#REF!,#REF!)</definedName>
    <definedName name="Planilha_1TítCols_14" localSheetId="11">(#REF!,#REF!)</definedName>
    <definedName name="Planilha_1TítCols_14" localSheetId="12">(#REF!,#REF!)</definedName>
    <definedName name="Planilha_1TítCols_14" localSheetId="8">(#REF!,#REF!)</definedName>
    <definedName name="Planilha_1TítCols_14">(#REF!,#REF!)</definedName>
    <definedName name="Planilha_1TítCols_2" localSheetId="11">(#REF!,#REF!)</definedName>
    <definedName name="Planilha_1TítCols_2" localSheetId="12">(#REF!,#REF!)</definedName>
    <definedName name="Planilha_1TítCols_2" localSheetId="8">(#REF!,#REF!)</definedName>
    <definedName name="Planilha_1TítCols_2">(#REF!,#REF!)</definedName>
    <definedName name="Planilha_1TítCols_4" localSheetId="11">(#REF!,#REF!)</definedName>
    <definedName name="Planilha_1TítCols_4" localSheetId="12">(#REF!,#REF!)</definedName>
    <definedName name="Planilha_1TítCols_4" localSheetId="8">(#REF!,#REF!)</definedName>
    <definedName name="Planilha_1TítCols_4">(#REF!,#REF!)</definedName>
    <definedName name="Planilha_1TítCols_6" localSheetId="11">#REF!,#REF!</definedName>
    <definedName name="Planilha_1TítCols_6" localSheetId="12">#REF!,#REF!</definedName>
    <definedName name="Planilha_1TítCols_6" localSheetId="8">#REF!,#REF!</definedName>
    <definedName name="Planilha_1TítCols_6">#REF!,#REF!</definedName>
    <definedName name="Planilha_1TítCols_7" localSheetId="11">(#REF!,#REF!)</definedName>
    <definedName name="Planilha_1TítCols_7" localSheetId="12">(#REF!,#REF!)</definedName>
    <definedName name="Planilha_1TítCols_7" localSheetId="8">(#REF!,#REF!)</definedName>
    <definedName name="Planilha_1TítCols_7">(#REF!,#REF!)</definedName>
    <definedName name="Planilha_1TítCols_8" localSheetId="11">#REF!,#REF!</definedName>
    <definedName name="Planilha_1TítCols_8" localSheetId="12">#REF!,#REF!</definedName>
    <definedName name="Planilha_1TítCols_8" localSheetId="7">'[11]Anexo IX _ RP'!#REF!,'[11]Anexo IX _ RP'!#REF!</definedName>
    <definedName name="Planilha_1TítCols_8" localSheetId="8">#REF!,#REF!</definedName>
    <definedName name="Planilha_1TítCols_8">#REF!,#REF!</definedName>
    <definedName name="Planilha_1TítCols_9" localSheetId="11">(#REF!,#REF!)</definedName>
    <definedName name="Planilha_1TítCols_9" localSheetId="12">(#REF!,#REF!)</definedName>
    <definedName name="Planilha_1TítCols_9" localSheetId="8">(#REF!,#REF!)</definedName>
    <definedName name="Planilha_1TítCols_9">(#REF!,#REF!)</definedName>
    <definedName name="Planilha_1TítLins" localSheetId="11">#REF!</definedName>
    <definedName name="Planilha_1TítLins" localSheetId="12">#REF!</definedName>
    <definedName name="Planilha_1TítLins" localSheetId="8">#REF!</definedName>
    <definedName name="Planilha_1TítLins">#REF!</definedName>
    <definedName name="Planilha_1TítLins_11" localSheetId="11">#REF!</definedName>
    <definedName name="Planilha_1TítLins_11" localSheetId="12">#REF!</definedName>
    <definedName name="Planilha_1TítLins_11" localSheetId="8">#REF!</definedName>
    <definedName name="Planilha_1TítLins_11">#REF!</definedName>
    <definedName name="Planilha_1TítLins_12" localSheetId="11">#REF!</definedName>
    <definedName name="Planilha_1TítLins_12" localSheetId="12">#REF!</definedName>
    <definedName name="Planilha_1TítLins_12" localSheetId="8">#REF!</definedName>
    <definedName name="Planilha_1TítLins_12">#REF!</definedName>
    <definedName name="Planilha_1TítLins_13" localSheetId="11">#REF!</definedName>
    <definedName name="Planilha_1TítLins_13" localSheetId="12">#REF!</definedName>
    <definedName name="Planilha_1TítLins_13" localSheetId="8">#REF!</definedName>
    <definedName name="Planilha_1TítLins_13">#REF!</definedName>
    <definedName name="Planilha_1TítLins_14" localSheetId="11">#REF!</definedName>
    <definedName name="Planilha_1TítLins_14" localSheetId="12">#REF!</definedName>
    <definedName name="Planilha_1TítLins_14" localSheetId="8">#REF!</definedName>
    <definedName name="Planilha_1TítLins_14">#REF!</definedName>
    <definedName name="Planilha_1TítLins_2" localSheetId="11">#REF!</definedName>
    <definedName name="Planilha_1TítLins_2" localSheetId="12">#REF!</definedName>
    <definedName name="Planilha_1TítLins_2" localSheetId="8">#REF!</definedName>
    <definedName name="Planilha_1TítLins_2">#REF!</definedName>
    <definedName name="Planilha_1TítLins_4" localSheetId="11">#REF!</definedName>
    <definedName name="Planilha_1TítLins_4" localSheetId="12">#REF!</definedName>
    <definedName name="Planilha_1TítLins_4" localSheetId="8">#REF!</definedName>
    <definedName name="Planilha_1TítLins_4">#REF!</definedName>
    <definedName name="Planilha_1TítLins_6" localSheetId="11">#REF!</definedName>
    <definedName name="Planilha_1TítLins_6" localSheetId="12">#REF!</definedName>
    <definedName name="Planilha_1TítLins_6" localSheetId="8">#REF!</definedName>
    <definedName name="Planilha_1TítLins_6">#REF!</definedName>
    <definedName name="Planilha_1TítLins_7" localSheetId="11">#REF!</definedName>
    <definedName name="Planilha_1TítLins_7" localSheetId="12">#REF!</definedName>
    <definedName name="Planilha_1TítLins_7" localSheetId="8">#REF!</definedName>
    <definedName name="Planilha_1TítLins_7">#REF!</definedName>
    <definedName name="Planilha_1TítLins_8" localSheetId="11">#REF!</definedName>
    <definedName name="Planilha_1TítLins_8" localSheetId="12">#REF!</definedName>
    <definedName name="Planilha_1TítLins_8" localSheetId="7">'[11]Anexo IX _ RP'!#REF!</definedName>
    <definedName name="Planilha_1TítLins_8" localSheetId="8">#REF!</definedName>
    <definedName name="Planilha_1TítLins_8">#REF!</definedName>
    <definedName name="Planilha_1TítLins_9" localSheetId="11">#REF!</definedName>
    <definedName name="Planilha_1TítLins_9" localSheetId="12">#REF!</definedName>
    <definedName name="Planilha_1TítLins_9" localSheetId="8">#REF!</definedName>
    <definedName name="Planilha_1TítLins_9">#REF!</definedName>
    <definedName name="Planilha_2ÁreaTotal" localSheetId="11">(#REF!,#REF!)</definedName>
    <definedName name="Planilha_2ÁreaTotal" localSheetId="12">(#REF!,#REF!)</definedName>
    <definedName name="Planilha_2ÁreaTotal" localSheetId="8">(#REF!,#REF!)</definedName>
    <definedName name="Planilha_2ÁreaTotal">(#REF!,#REF!)</definedName>
    <definedName name="Planilha_2ÁreaTotal_11" localSheetId="11">(#REF!,#REF!)</definedName>
    <definedName name="Planilha_2ÁreaTotal_11" localSheetId="12">(#REF!,#REF!)</definedName>
    <definedName name="Planilha_2ÁreaTotal_11" localSheetId="8">(#REF!,#REF!)</definedName>
    <definedName name="Planilha_2ÁreaTotal_11">(#REF!,#REF!)</definedName>
    <definedName name="Planilha_2ÁreaTotal_12" localSheetId="11">(#REF!,#REF!)</definedName>
    <definedName name="Planilha_2ÁreaTotal_12" localSheetId="12">(#REF!,#REF!)</definedName>
    <definedName name="Planilha_2ÁreaTotal_12" localSheetId="8">(#REF!,#REF!)</definedName>
    <definedName name="Planilha_2ÁreaTotal_12">(#REF!,#REF!)</definedName>
    <definedName name="Planilha_2ÁreaTotal_13" localSheetId="11">(#REF!,#REF!)</definedName>
    <definedName name="Planilha_2ÁreaTotal_13" localSheetId="12">(#REF!,#REF!)</definedName>
    <definedName name="Planilha_2ÁreaTotal_13" localSheetId="8">(#REF!,#REF!)</definedName>
    <definedName name="Planilha_2ÁreaTotal_13">(#REF!,#REF!)</definedName>
    <definedName name="Planilha_2ÁreaTotal_14" localSheetId="11">(#REF!,#REF!)</definedName>
    <definedName name="Planilha_2ÁreaTotal_14" localSheetId="12">(#REF!,#REF!)</definedName>
    <definedName name="Planilha_2ÁreaTotal_14" localSheetId="8">(#REF!,#REF!)</definedName>
    <definedName name="Planilha_2ÁreaTotal_14">(#REF!,#REF!)</definedName>
    <definedName name="Planilha_2ÁreaTotal_2" localSheetId="11">(#REF!,#REF!)</definedName>
    <definedName name="Planilha_2ÁreaTotal_2" localSheetId="12">(#REF!,#REF!)</definedName>
    <definedName name="Planilha_2ÁreaTotal_2" localSheetId="8">(#REF!,#REF!)</definedName>
    <definedName name="Planilha_2ÁreaTotal_2">(#REF!,#REF!)</definedName>
    <definedName name="Planilha_2ÁreaTotal_4" localSheetId="11">(#REF!,#REF!)</definedName>
    <definedName name="Planilha_2ÁreaTotal_4" localSheetId="12">(#REF!,#REF!)</definedName>
    <definedName name="Planilha_2ÁreaTotal_4" localSheetId="8">(#REF!,#REF!)</definedName>
    <definedName name="Planilha_2ÁreaTotal_4">(#REF!,#REF!)</definedName>
    <definedName name="Planilha_2ÁreaTotal_6" localSheetId="11">#REF!,#REF!</definedName>
    <definedName name="Planilha_2ÁreaTotal_6" localSheetId="12">#REF!,#REF!</definedName>
    <definedName name="Planilha_2ÁreaTotal_6" localSheetId="8">#REF!,#REF!</definedName>
    <definedName name="Planilha_2ÁreaTotal_6">#REF!,#REF!</definedName>
    <definedName name="Planilha_2ÁreaTotal_8" localSheetId="11">#REF!,#REF!</definedName>
    <definedName name="Planilha_2ÁreaTotal_8" localSheetId="12">#REF!,#REF!</definedName>
    <definedName name="Planilha_2ÁreaTotal_8" localSheetId="8">#REF!,#REF!</definedName>
    <definedName name="Planilha_2ÁreaTotal_8">#REF!,#REF!</definedName>
    <definedName name="Planilha_2CabGráfico" localSheetId="11">#REF!</definedName>
    <definedName name="Planilha_2CabGráfico" localSheetId="12">#REF!</definedName>
    <definedName name="Planilha_2CabGráfico" localSheetId="8">#REF!</definedName>
    <definedName name="Planilha_2CabGráfico">#REF!</definedName>
    <definedName name="Planilha_2CabGráfico_11" localSheetId="11">#REF!</definedName>
    <definedName name="Planilha_2CabGráfico_11" localSheetId="12">#REF!</definedName>
    <definedName name="Planilha_2CabGráfico_11" localSheetId="8">#REF!</definedName>
    <definedName name="Planilha_2CabGráfico_11">#REF!</definedName>
    <definedName name="Planilha_2CabGráfico_12" localSheetId="11">#REF!</definedName>
    <definedName name="Planilha_2CabGráfico_12" localSheetId="12">#REF!</definedName>
    <definedName name="Planilha_2CabGráfico_12" localSheetId="8">#REF!</definedName>
    <definedName name="Planilha_2CabGráfico_12">#REF!</definedName>
    <definedName name="Planilha_2CabGráfico_13" localSheetId="11">#REF!</definedName>
    <definedName name="Planilha_2CabGráfico_13" localSheetId="12">#REF!</definedName>
    <definedName name="Planilha_2CabGráfico_13" localSheetId="8">#REF!</definedName>
    <definedName name="Planilha_2CabGráfico_13">#REF!</definedName>
    <definedName name="Planilha_2CabGráfico_14" localSheetId="11">#REF!</definedName>
    <definedName name="Planilha_2CabGráfico_14" localSheetId="12">#REF!</definedName>
    <definedName name="Planilha_2CabGráfico_14" localSheetId="8">#REF!</definedName>
    <definedName name="Planilha_2CabGráfico_14">#REF!</definedName>
    <definedName name="Planilha_2CabGráfico_2" localSheetId="11">#REF!</definedName>
    <definedName name="Planilha_2CabGráfico_2" localSheetId="12">#REF!</definedName>
    <definedName name="Planilha_2CabGráfico_2" localSheetId="8">#REF!</definedName>
    <definedName name="Planilha_2CabGráfico_2">#REF!</definedName>
    <definedName name="Planilha_2CabGráfico_4" localSheetId="11">#REF!</definedName>
    <definedName name="Planilha_2CabGráfico_4" localSheetId="12">#REF!</definedName>
    <definedName name="Planilha_2CabGráfico_4" localSheetId="8">#REF!</definedName>
    <definedName name="Planilha_2CabGráfico_4">#REF!</definedName>
    <definedName name="Planilha_2CabGráfico_6" localSheetId="11">#REF!</definedName>
    <definedName name="Planilha_2CabGráfico_6" localSheetId="12">#REF!</definedName>
    <definedName name="Planilha_2CabGráfico_6" localSheetId="8">#REF!</definedName>
    <definedName name="Planilha_2CabGráfico_6">#REF!</definedName>
    <definedName name="Planilha_2CabGráfico_8" localSheetId="11">#REF!</definedName>
    <definedName name="Planilha_2CabGráfico_8" localSheetId="12">#REF!</definedName>
    <definedName name="Planilha_2CabGráfico_8" localSheetId="8">#REF!</definedName>
    <definedName name="Planilha_2CabGráfico_8">#REF!</definedName>
    <definedName name="Planilha_2TítCols" localSheetId="11">(#REF!,#REF!)</definedName>
    <definedName name="Planilha_2TítCols" localSheetId="12">(#REF!,#REF!)</definedName>
    <definedName name="Planilha_2TítCols" localSheetId="8">(#REF!,#REF!)</definedName>
    <definedName name="Planilha_2TítCols">(#REF!,#REF!)</definedName>
    <definedName name="Planilha_2TítCols_11" localSheetId="11">(#REF!,#REF!)</definedName>
    <definedName name="Planilha_2TítCols_11" localSheetId="12">(#REF!,#REF!)</definedName>
    <definedName name="Planilha_2TítCols_11" localSheetId="8">(#REF!,#REF!)</definedName>
    <definedName name="Planilha_2TítCols_11">(#REF!,#REF!)</definedName>
    <definedName name="Planilha_2TítCols_12" localSheetId="11">(#REF!,#REF!)</definedName>
    <definedName name="Planilha_2TítCols_12" localSheetId="12">(#REF!,#REF!)</definedName>
    <definedName name="Planilha_2TítCols_12" localSheetId="8">(#REF!,#REF!)</definedName>
    <definedName name="Planilha_2TítCols_12">(#REF!,#REF!)</definedName>
    <definedName name="Planilha_2TítCols_13" localSheetId="11">(#REF!,#REF!)</definedName>
    <definedName name="Planilha_2TítCols_13" localSheetId="12">(#REF!,#REF!)</definedName>
    <definedName name="Planilha_2TítCols_13" localSheetId="8">(#REF!,#REF!)</definedName>
    <definedName name="Planilha_2TítCols_13">(#REF!,#REF!)</definedName>
    <definedName name="Planilha_2TítCols_14" localSheetId="11">(#REF!,#REF!)</definedName>
    <definedName name="Planilha_2TítCols_14" localSheetId="12">(#REF!,#REF!)</definedName>
    <definedName name="Planilha_2TítCols_14" localSheetId="8">(#REF!,#REF!)</definedName>
    <definedName name="Planilha_2TítCols_14">(#REF!,#REF!)</definedName>
    <definedName name="Planilha_2TítCols_2" localSheetId="11">(#REF!,#REF!)</definedName>
    <definedName name="Planilha_2TítCols_2" localSheetId="12">(#REF!,#REF!)</definedName>
    <definedName name="Planilha_2TítCols_2" localSheetId="8">(#REF!,#REF!)</definedName>
    <definedName name="Planilha_2TítCols_2">(#REF!,#REF!)</definedName>
    <definedName name="Planilha_2TítCols_4" localSheetId="11">(#REF!,#REF!)</definedName>
    <definedName name="Planilha_2TítCols_4" localSheetId="12">(#REF!,#REF!)</definedName>
    <definedName name="Planilha_2TítCols_4" localSheetId="8">(#REF!,#REF!)</definedName>
    <definedName name="Planilha_2TítCols_4">(#REF!,#REF!)</definedName>
    <definedName name="Planilha_2TítCols_6" localSheetId="11">#REF!,#REF!</definedName>
    <definedName name="Planilha_2TítCols_6" localSheetId="12">#REF!,#REF!</definedName>
    <definedName name="Planilha_2TítCols_6" localSheetId="8">#REF!,#REF!</definedName>
    <definedName name="Planilha_2TítCols_6">#REF!,#REF!</definedName>
    <definedName name="Planilha_2TítCols_8" localSheetId="11">#REF!,#REF!</definedName>
    <definedName name="Planilha_2TítCols_8" localSheetId="12">#REF!,#REF!</definedName>
    <definedName name="Planilha_2TítCols_8" localSheetId="8">#REF!,#REF!</definedName>
    <definedName name="Planilha_2TítCols_8">#REF!,#REF!</definedName>
    <definedName name="Planilha_2TítLins" localSheetId="11">#REF!</definedName>
    <definedName name="Planilha_2TítLins" localSheetId="12">#REF!</definedName>
    <definedName name="Planilha_2TítLins" localSheetId="8">#REF!</definedName>
    <definedName name="Planilha_2TítLins">#REF!</definedName>
    <definedName name="Planilha_2TítLins_11" localSheetId="11">#REF!</definedName>
    <definedName name="Planilha_2TítLins_11" localSheetId="12">#REF!</definedName>
    <definedName name="Planilha_2TítLins_11" localSheetId="8">#REF!</definedName>
    <definedName name="Planilha_2TítLins_11">#REF!</definedName>
    <definedName name="Planilha_2TítLins_12" localSheetId="11">#REF!</definedName>
    <definedName name="Planilha_2TítLins_12" localSheetId="12">#REF!</definedName>
    <definedName name="Planilha_2TítLins_12" localSheetId="8">#REF!</definedName>
    <definedName name="Planilha_2TítLins_12">#REF!</definedName>
    <definedName name="Planilha_2TítLins_13" localSheetId="11">#REF!</definedName>
    <definedName name="Planilha_2TítLins_13" localSheetId="12">#REF!</definedName>
    <definedName name="Planilha_2TítLins_13" localSheetId="8">#REF!</definedName>
    <definedName name="Planilha_2TítLins_13">#REF!</definedName>
    <definedName name="Planilha_2TítLins_14" localSheetId="11">#REF!</definedName>
    <definedName name="Planilha_2TítLins_14" localSheetId="12">#REF!</definedName>
    <definedName name="Planilha_2TítLins_14" localSheetId="8">#REF!</definedName>
    <definedName name="Planilha_2TítLins_14">#REF!</definedName>
    <definedName name="Planilha_2TítLins_2" localSheetId="11">#REF!</definedName>
    <definedName name="Planilha_2TítLins_2" localSheetId="12">#REF!</definedName>
    <definedName name="Planilha_2TítLins_2" localSheetId="8">#REF!</definedName>
    <definedName name="Planilha_2TítLins_2">#REF!</definedName>
    <definedName name="Planilha_2TítLins_4" localSheetId="11">#REF!</definedName>
    <definedName name="Planilha_2TítLins_4" localSheetId="12">#REF!</definedName>
    <definedName name="Planilha_2TítLins_4" localSheetId="8">#REF!</definedName>
    <definedName name="Planilha_2TítLins_4">#REF!</definedName>
    <definedName name="Planilha_2TítLins_6" localSheetId="11">#REF!</definedName>
    <definedName name="Planilha_2TítLins_6" localSheetId="12">#REF!</definedName>
    <definedName name="Planilha_2TítLins_6" localSheetId="8">#REF!</definedName>
    <definedName name="Planilha_2TítLins_6">#REF!</definedName>
    <definedName name="Planilha_2TítLins_8" localSheetId="11">#REF!</definedName>
    <definedName name="Planilha_2TítLins_8" localSheetId="12">#REF!</definedName>
    <definedName name="Planilha_2TítLins_8" localSheetId="8">#REF!</definedName>
    <definedName name="Planilha_2TítLins_8">#REF!</definedName>
    <definedName name="Planilha_3ÁreaTotal" localSheetId="11">(#REF!,#REF!)</definedName>
    <definedName name="Planilha_3ÁreaTotal" localSheetId="12">(#REF!,#REF!)</definedName>
    <definedName name="Planilha_3ÁreaTotal" localSheetId="8">(#REF!,#REF!)</definedName>
    <definedName name="Planilha_3ÁreaTotal">(#REF!,#REF!)</definedName>
    <definedName name="Planilha_3ÁreaTotal_11" localSheetId="11">(#REF!,#REF!)</definedName>
    <definedName name="Planilha_3ÁreaTotal_11" localSheetId="12">(#REF!,#REF!)</definedName>
    <definedName name="Planilha_3ÁreaTotal_11" localSheetId="8">(#REF!,#REF!)</definedName>
    <definedName name="Planilha_3ÁreaTotal_11">(#REF!,#REF!)</definedName>
    <definedName name="Planilha_3ÁreaTotal_12" localSheetId="11">(#REF!,#REF!)</definedName>
    <definedName name="Planilha_3ÁreaTotal_12" localSheetId="12">(#REF!,#REF!)</definedName>
    <definedName name="Planilha_3ÁreaTotal_12" localSheetId="8">(#REF!,#REF!)</definedName>
    <definedName name="Planilha_3ÁreaTotal_12">(#REF!,#REF!)</definedName>
    <definedName name="Planilha_3ÁreaTotal_13" localSheetId="11">(#REF!,#REF!)</definedName>
    <definedName name="Planilha_3ÁreaTotal_13" localSheetId="12">(#REF!,#REF!)</definedName>
    <definedName name="Planilha_3ÁreaTotal_13" localSheetId="8">(#REF!,#REF!)</definedName>
    <definedName name="Planilha_3ÁreaTotal_13">(#REF!,#REF!)</definedName>
    <definedName name="Planilha_3ÁreaTotal_14" localSheetId="11">(#REF!,#REF!)</definedName>
    <definedName name="Planilha_3ÁreaTotal_14" localSheetId="12">(#REF!,#REF!)</definedName>
    <definedName name="Planilha_3ÁreaTotal_14" localSheetId="8">(#REF!,#REF!)</definedName>
    <definedName name="Planilha_3ÁreaTotal_14">(#REF!,#REF!)</definedName>
    <definedName name="Planilha_3ÁreaTotal_2" localSheetId="11">(#REF!,#REF!)</definedName>
    <definedName name="Planilha_3ÁreaTotal_2" localSheetId="12">(#REF!,#REF!)</definedName>
    <definedName name="Planilha_3ÁreaTotal_2" localSheetId="8">(#REF!,#REF!)</definedName>
    <definedName name="Planilha_3ÁreaTotal_2">(#REF!,#REF!)</definedName>
    <definedName name="Planilha_3ÁreaTotal_4" localSheetId="11">(#REF!,#REF!)</definedName>
    <definedName name="Planilha_3ÁreaTotal_4" localSheetId="12">(#REF!,#REF!)</definedName>
    <definedName name="Planilha_3ÁreaTotal_4" localSheetId="8">(#REF!,#REF!)</definedName>
    <definedName name="Planilha_3ÁreaTotal_4">(#REF!,#REF!)</definedName>
    <definedName name="Planilha_3ÁreaTotal_6" localSheetId="11">#REF!,#REF!</definedName>
    <definedName name="Planilha_3ÁreaTotal_6" localSheetId="12">#REF!,#REF!</definedName>
    <definedName name="Planilha_3ÁreaTotal_6" localSheetId="8">#REF!,#REF!</definedName>
    <definedName name="Planilha_3ÁreaTotal_6">#REF!,#REF!</definedName>
    <definedName name="Planilha_3ÁreaTotal_8" localSheetId="11">#REF!,#REF!</definedName>
    <definedName name="Planilha_3ÁreaTotal_8" localSheetId="12">#REF!,#REF!</definedName>
    <definedName name="Planilha_3ÁreaTotal_8" localSheetId="8">#REF!,#REF!</definedName>
    <definedName name="Planilha_3ÁreaTotal_8">#REF!,#REF!</definedName>
    <definedName name="Planilha_3CabGráfico" localSheetId="11">#REF!</definedName>
    <definedName name="Planilha_3CabGráfico" localSheetId="12">#REF!</definedName>
    <definedName name="Planilha_3CabGráfico" localSheetId="8">#REF!</definedName>
    <definedName name="Planilha_3CabGráfico">#REF!</definedName>
    <definedName name="Planilha_3CabGráfico_11" localSheetId="11">#REF!</definedName>
    <definedName name="Planilha_3CabGráfico_11" localSheetId="12">#REF!</definedName>
    <definedName name="Planilha_3CabGráfico_11" localSheetId="8">#REF!</definedName>
    <definedName name="Planilha_3CabGráfico_11">#REF!</definedName>
    <definedName name="Planilha_3CabGráfico_12" localSheetId="11">#REF!</definedName>
    <definedName name="Planilha_3CabGráfico_12" localSheetId="12">#REF!</definedName>
    <definedName name="Planilha_3CabGráfico_12" localSheetId="8">#REF!</definedName>
    <definedName name="Planilha_3CabGráfico_12">#REF!</definedName>
    <definedName name="Planilha_3CabGráfico_13" localSheetId="11">#REF!</definedName>
    <definedName name="Planilha_3CabGráfico_13" localSheetId="12">#REF!</definedName>
    <definedName name="Planilha_3CabGráfico_13" localSheetId="8">#REF!</definedName>
    <definedName name="Planilha_3CabGráfico_13">#REF!</definedName>
    <definedName name="Planilha_3CabGráfico_14" localSheetId="11">#REF!</definedName>
    <definedName name="Planilha_3CabGráfico_14" localSheetId="12">#REF!</definedName>
    <definedName name="Planilha_3CabGráfico_14" localSheetId="8">#REF!</definedName>
    <definedName name="Planilha_3CabGráfico_14">#REF!</definedName>
    <definedName name="Planilha_3CabGráfico_2" localSheetId="11">#REF!</definedName>
    <definedName name="Planilha_3CabGráfico_2" localSheetId="12">#REF!</definedName>
    <definedName name="Planilha_3CabGráfico_2" localSheetId="8">#REF!</definedName>
    <definedName name="Planilha_3CabGráfico_2">#REF!</definedName>
    <definedName name="Planilha_3CabGráfico_4" localSheetId="11">#REF!</definedName>
    <definedName name="Planilha_3CabGráfico_4" localSheetId="12">#REF!</definedName>
    <definedName name="Planilha_3CabGráfico_4" localSheetId="8">#REF!</definedName>
    <definedName name="Planilha_3CabGráfico_4">#REF!</definedName>
    <definedName name="Planilha_3CabGráfico_6" localSheetId="11">#REF!</definedName>
    <definedName name="Planilha_3CabGráfico_6" localSheetId="12">#REF!</definedName>
    <definedName name="Planilha_3CabGráfico_6" localSheetId="8">#REF!</definedName>
    <definedName name="Planilha_3CabGráfico_6">#REF!</definedName>
    <definedName name="Planilha_3CabGráfico_8" localSheetId="11">#REF!</definedName>
    <definedName name="Planilha_3CabGráfico_8" localSheetId="12">#REF!</definedName>
    <definedName name="Planilha_3CabGráfico_8" localSheetId="8">#REF!</definedName>
    <definedName name="Planilha_3CabGráfico_8">#REF!</definedName>
    <definedName name="Planilha_3TítCols" localSheetId="11">(#REF!,#REF!)</definedName>
    <definedName name="Planilha_3TítCols" localSheetId="12">(#REF!,#REF!)</definedName>
    <definedName name="Planilha_3TítCols" localSheetId="8">(#REF!,#REF!)</definedName>
    <definedName name="Planilha_3TítCols">(#REF!,#REF!)</definedName>
    <definedName name="Planilha_3TítCols_11" localSheetId="11">(#REF!,#REF!)</definedName>
    <definedName name="Planilha_3TítCols_11" localSheetId="12">(#REF!,#REF!)</definedName>
    <definedName name="Planilha_3TítCols_11" localSheetId="8">(#REF!,#REF!)</definedName>
    <definedName name="Planilha_3TítCols_11">(#REF!,#REF!)</definedName>
    <definedName name="Planilha_3TítCols_12" localSheetId="11">(#REF!,#REF!)</definedName>
    <definedName name="Planilha_3TítCols_12" localSheetId="12">(#REF!,#REF!)</definedName>
    <definedName name="Planilha_3TítCols_12" localSheetId="8">(#REF!,#REF!)</definedName>
    <definedName name="Planilha_3TítCols_12">(#REF!,#REF!)</definedName>
    <definedName name="Planilha_3TítCols_13" localSheetId="11">(#REF!,#REF!)</definedName>
    <definedName name="Planilha_3TítCols_13" localSheetId="12">(#REF!,#REF!)</definedName>
    <definedName name="Planilha_3TítCols_13" localSheetId="8">(#REF!,#REF!)</definedName>
    <definedName name="Planilha_3TítCols_13">(#REF!,#REF!)</definedName>
    <definedName name="Planilha_3TítCols_14" localSheetId="11">(#REF!,#REF!)</definedName>
    <definedName name="Planilha_3TítCols_14" localSheetId="12">(#REF!,#REF!)</definedName>
    <definedName name="Planilha_3TítCols_14" localSheetId="8">(#REF!,#REF!)</definedName>
    <definedName name="Planilha_3TítCols_14">(#REF!,#REF!)</definedName>
    <definedName name="Planilha_3TítCols_2" localSheetId="11">(#REF!,#REF!)</definedName>
    <definedName name="Planilha_3TítCols_2" localSheetId="12">(#REF!,#REF!)</definedName>
    <definedName name="Planilha_3TítCols_2" localSheetId="8">(#REF!,#REF!)</definedName>
    <definedName name="Planilha_3TítCols_2">(#REF!,#REF!)</definedName>
    <definedName name="Planilha_3TítCols_4" localSheetId="11">(#REF!,#REF!)</definedName>
    <definedName name="Planilha_3TítCols_4" localSheetId="12">(#REF!,#REF!)</definedName>
    <definedName name="Planilha_3TítCols_4" localSheetId="8">(#REF!,#REF!)</definedName>
    <definedName name="Planilha_3TítCols_4">(#REF!,#REF!)</definedName>
    <definedName name="Planilha_3TítCols_6" localSheetId="11">#REF!,#REF!</definedName>
    <definedName name="Planilha_3TítCols_6" localSheetId="12">#REF!,#REF!</definedName>
    <definedName name="Planilha_3TítCols_6" localSheetId="8">#REF!,#REF!</definedName>
    <definedName name="Planilha_3TítCols_6">#REF!,#REF!</definedName>
    <definedName name="Planilha_3TítCols_8" localSheetId="11">#REF!,#REF!</definedName>
    <definedName name="Planilha_3TítCols_8" localSheetId="12">#REF!,#REF!</definedName>
    <definedName name="Planilha_3TítCols_8" localSheetId="8">#REF!,#REF!</definedName>
    <definedName name="Planilha_3TítCols_8">#REF!,#REF!</definedName>
    <definedName name="Planilha_3TítLins" localSheetId="11">#REF!</definedName>
    <definedName name="Planilha_3TítLins" localSheetId="12">#REF!</definedName>
    <definedName name="Planilha_3TítLins" localSheetId="8">#REF!</definedName>
    <definedName name="Planilha_3TítLins">#REF!</definedName>
    <definedName name="Planilha_3TítLins_11" localSheetId="11">#REF!</definedName>
    <definedName name="Planilha_3TítLins_11" localSheetId="12">#REF!</definedName>
    <definedName name="Planilha_3TítLins_11" localSheetId="8">#REF!</definedName>
    <definedName name="Planilha_3TítLins_11">#REF!</definedName>
    <definedName name="Planilha_3TítLins_12" localSheetId="11">#REF!</definedName>
    <definedName name="Planilha_3TítLins_12" localSheetId="12">#REF!</definedName>
    <definedName name="Planilha_3TítLins_12" localSheetId="8">#REF!</definedName>
    <definedName name="Planilha_3TítLins_12">#REF!</definedName>
    <definedName name="Planilha_3TítLins_13" localSheetId="11">#REF!</definedName>
    <definedName name="Planilha_3TítLins_13" localSheetId="12">#REF!</definedName>
    <definedName name="Planilha_3TítLins_13" localSheetId="8">#REF!</definedName>
    <definedName name="Planilha_3TítLins_13">#REF!</definedName>
    <definedName name="Planilha_3TítLins_14" localSheetId="11">#REF!</definedName>
    <definedName name="Planilha_3TítLins_14" localSheetId="12">#REF!</definedName>
    <definedName name="Planilha_3TítLins_14" localSheetId="8">#REF!</definedName>
    <definedName name="Planilha_3TítLins_14">#REF!</definedName>
    <definedName name="Planilha_3TítLins_2" localSheetId="11">#REF!</definedName>
    <definedName name="Planilha_3TítLins_2" localSheetId="12">#REF!</definedName>
    <definedName name="Planilha_3TítLins_2" localSheetId="8">#REF!</definedName>
    <definedName name="Planilha_3TítLins_2">#REF!</definedName>
    <definedName name="Planilha_3TítLins_4" localSheetId="11">#REF!</definedName>
    <definedName name="Planilha_3TítLins_4" localSheetId="12">#REF!</definedName>
    <definedName name="Planilha_3TítLins_4" localSheetId="8">#REF!</definedName>
    <definedName name="Planilha_3TítLins_4">#REF!</definedName>
    <definedName name="Planilha_3TítLins_6" localSheetId="11">#REF!</definedName>
    <definedName name="Planilha_3TítLins_6" localSheetId="12">#REF!</definedName>
    <definedName name="Planilha_3TítLins_6" localSheetId="8">#REF!</definedName>
    <definedName name="Planilha_3TítLins_6">#REF!</definedName>
    <definedName name="Planilha_3TítLins_8" localSheetId="11">#REF!</definedName>
    <definedName name="Planilha_3TítLins_8" localSheetId="12">#REF!</definedName>
    <definedName name="Planilha_3TítLins_8" localSheetId="8">#REF!</definedName>
    <definedName name="Planilha_3TítLins_8">#REF!</definedName>
    <definedName name="Planilha_4ÁreaTotal" localSheetId="11">(#REF!,#REF!)</definedName>
    <definedName name="Planilha_4ÁreaTotal" localSheetId="12">(#REF!,#REF!)</definedName>
    <definedName name="Planilha_4ÁreaTotal" localSheetId="8">(#REF!,#REF!)</definedName>
    <definedName name="Planilha_4ÁreaTotal">(#REF!,#REF!)</definedName>
    <definedName name="Planilha_4ÁreaTotal_6" localSheetId="11">#REF!,#REF!</definedName>
    <definedName name="Planilha_4ÁreaTotal_6" localSheetId="12">#REF!,#REF!</definedName>
    <definedName name="Planilha_4ÁreaTotal_6" localSheetId="8">#REF!,#REF!</definedName>
    <definedName name="Planilha_4ÁreaTotal_6">#REF!,#REF!</definedName>
    <definedName name="Planilha_4ÁreaTotal_8" localSheetId="11">#REF!,#REF!</definedName>
    <definedName name="Planilha_4ÁreaTotal_8" localSheetId="12">#REF!,#REF!</definedName>
    <definedName name="Planilha_4ÁreaTotal_8" localSheetId="8">#REF!,#REF!</definedName>
    <definedName name="Planilha_4ÁreaTotal_8">#REF!,#REF!</definedName>
    <definedName name="Planilha_4TítCols" localSheetId="11">(#REF!,#REF!)</definedName>
    <definedName name="Planilha_4TítCols" localSheetId="12">(#REF!,#REF!)</definedName>
    <definedName name="Planilha_4TítCols" localSheetId="8">(#REF!,#REF!)</definedName>
    <definedName name="Planilha_4TítCols">(#REF!,#REF!)</definedName>
    <definedName name="Planilha_4TítCols_6" localSheetId="11">#REF!,#REF!</definedName>
    <definedName name="Planilha_4TítCols_6" localSheetId="12">#REF!,#REF!</definedName>
    <definedName name="Planilha_4TítCols_6" localSheetId="8">#REF!,#REF!</definedName>
    <definedName name="Planilha_4TítCols_6">#REF!,#REF!</definedName>
    <definedName name="Planilha_4TítCols_8" localSheetId="11">#REF!,#REF!</definedName>
    <definedName name="Planilha_4TítCols_8" localSheetId="12">#REF!,#REF!</definedName>
    <definedName name="Planilha_4TítCols_8" localSheetId="8">#REF!,#REF!</definedName>
    <definedName name="Planilha_4TítCols_8">#REF!,#REF!</definedName>
    <definedName name="Tabela_1___Déficit_da_Previdência_Social__RGPS" localSheetId="11">#REF!</definedName>
    <definedName name="Tabela_1___Déficit_da_Previdência_Social__RGPS" localSheetId="12">#REF!</definedName>
    <definedName name="Tabela_1___Déficit_da_Previdência_Social__RGPS" localSheetId="8">#REF!</definedName>
    <definedName name="Tabela_1___Déficit_da_Previdência_Social__RGPS">#REF!</definedName>
    <definedName name="Tabela_1___Déficit_da_Previdência_Social__RGPS_11" localSheetId="11">#REF!</definedName>
    <definedName name="Tabela_1___Déficit_da_Previdência_Social__RGPS_11" localSheetId="12">#REF!</definedName>
    <definedName name="Tabela_1___Déficit_da_Previdência_Social__RGPS_11" localSheetId="8">#REF!</definedName>
    <definedName name="Tabela_1___Déficit_da_Previdência_Social__RGPS_11">#REF!</definedName>
    <definedName name="Tabela_1___Déficit_da_Previdência_Social__RGPS_12" localSheetId="11">#REF!</definedName>
    <definedName name="Tabela_1___Déficit_da_Previdência_Social__RGPS_12" localSheetId="12">#REF!</definedName>
    <definedName name="Tabela_1___Déficit_da_Previdência_Social__RGPS_12" localSheetId="8">#REF!</definedName>
    <definedName name="Tabela_1___Déficit_da_Previdência_Social__RGPS_12">#REF!</definedName>
    <definedName name="Tabela_1___Déficit_da_Previdência_Social__RGPS_13" localSheetId="11">#REF!</definedName>
    <definedName name="Tabela_1___Déficit_da_Previdência_Social__RGPS_13" localSheetId="12">#REF!</definedName>
    <definedName name="Tabela_1___Déficit_da_Previdência_Social__RGPS_13" localSheetId="8">#REF!</definedName>
    <definedName name="Tabela_1___Déficit_da_Previdência_Social__RGPS_13">#REF!</definedName>
    <definedName name="Tabela_1___Déficit_da_Previdência_Social__RGPS_14" localSheetId="11">#REF!</definedName>
    <definedName name="Tabela_1___Déficit_da_Previdência_Social__RGPS_14" localSheetId="12">#REF!</definedName>
    <definedName name="Tabela_1___Déficit_da_Previdência_Social__RGPS_14" localSheetId="8">#REF!</definedName>
    <definedName name="Tabela_1___Déficit_da_Previdência_Social__RGPS_14">#REF!</definedName>
    <definedName name="Tabela_1___Déficit_da_Previdência_Social__RGPS_2" localSheetId="11">#REF!</definedName>
    <definedName name="Tabela_1___Déficit_da_Previdência_Social__RGPS_2" localSheetId="12">#REF!</definedName>
    <definedName name="Tabela_1___Déficit_da_Previdência_Social__RGPS_2" localSheetId="8">#REF!</definedName>
    <definedName name="Tabela_1___Déficit_da_Previdência_Social__RGPS_2">#REF!</definedName>
    <definedName name="Tabela_1___Déficit_da_Previdência_Social__RGPS_4" localSheetId="11">#REF!</definedName>
    <definedName name="Tabela_1___Déficit_da_Previdência_Social__RGPS_4" localSheetId="12">#REF!</definedName>
    <definedName name="Tabela_1___Déficit_da_Previdência_Social__RGPS_4" localSheetId="8">#REF!</definedName>
    <definedName name="Tabela_1___Déficit_da_Previdência_Social__RGPS_4">#REF!</definedName>
    <definedName name="Tabela_1___Déficit_da_Previdência_Social__RGPS_6" localSheetId="11">#REF!</definedName>
    <definedName name="Tabela_1___Déficit_da_Previdência_Social__RGPS_6" localSheetId="12">#REF!</definedName>
    <definedName name="Tabela_1___Déficit_da_Previdência_Social__RGPS_6" localSheetId="8">#REF!</definedName>
    <definedName name="Tabela_1___Déficit_da_Previdência_Social__RGPS_6">#REF!</definedName>
    <definedName name="Tabela_1___Déficit_da_Previdência_Social__RGPS_8" localSheetId="11">#REF!</definedName>
    <definedName name="Tabela_1___Déficit_da_Previdência_Social__RGPS_8" localSheetId="12">#REF!</definedName>
    <definedName name="Tabela_1___Déficit_da_Previdência_Social__RGPS_8" localSheetId="8">#REF!</definedName>
    <definedName name="Tabela_1___Déficit_da_Previdência_Social__RGPS_8">#REF!</definedName>
    <definedName name="Tabela_10___Resultado_Primário_do_Governo_Central_em_1999" localSheetId="11">#REF!</definedName>
    <definedName name="Tabela_10___Resultado_Primário_do_Governo_Central_em_1999" localSheetId="12">#REF!</definedName>
    <definedName name="Tabela_10___Resultado_Primário_do_Governo_Central_em_1999" localSheetId="8">#REF!</definedName>
    <definedName name="Tabela_10___Resultado_Primário_do_Governo_Central_em_1999">#REF!</definedName>
    <definedName name="Tabela_10___Resultado_Primário_do_Governo_Central_em_1999_11" localSheetId="11">#REF!</definedName>
    <definedName name="Tabela_10___Resultado_Primário_do_Governo_Central_em_1999_11" localSheetId="12">#REF!</definedName>
    <definedName name="Tabela_10___Resultado_Primário_do_Governo_Central_em_1999_11" localSheetId="8">#REF!</definedName>
    <definedName name="Tabela_10___Resultado_Primário_do_Governo_Central_em_1999_11">#REF!</definedName>
    <definedName name="Tabela_10___Resultado_Primário_do_Governo_Central_em_1999_12" localSheetId="11">#REF!</definedName>
    <definedName name="Tabela_10___Resultado_Primário_do_Governo_Central_em_1999_12" localSheetId="12">#REF!</definedName>
    <definedName name="Tabela_10___Resultado_Primário_do_Governo_Central_em_1999_12" localSheetId="8">#REF!</definedName>
    <definedName name="Tabela_10___Resultado_Primário_do_Governo_Central_em_1999_12">#REF!</definedName>
    <definedName name="Tabela_10___Resultado_Primário_do_Governo_Central_em_1999_13" localSheetId="11">#REF!</definedName>
    <definedName name="Tabela_10___Resultado_Primário_do_Governo_Central_em_1999_13" localSheetId="12">#REF!</definedName>
    <definedName name="Tabela_10___Resultado_Primário_do_Governo_Central_em_1999_13" localSheetId="8">#REF!</definedName>
    <definedName name="Tabela_10___Resultado_Primário_do_Governo_Central_em_1999_13">#REF!</definedName>
    <definedName name="Tabela_10___Resultado_Primário_do_Governo_Central_em_1999_14" localSheetId="11">#REF!</definedName>
    <definedName name="Tabela_10___Resultado_Primário_do_Governo_Central_em_1999_14" localSheetId="12">#REF!</definedName>
    <definedName name="Tabela_10___Resultado_Primário_do_Governo_Central_em_1999_14" localSheetId="8">#REF!</definedName>
    <definedName name="Tabela_10___Resultado_Primário_do_Governo_Central_em_1999_14">#REF!</definedName>
    <definedName name="Tabela_10___Resultado_Primário_do_Governo_Central_em_1999_2" localSheetId="11">#REF!</definedName>
    <definedName name="Tabela_10___Resultado_Primário_do_Governo_Central_em_1999_2" localSheetId="12">#REF!</definedName>
    <definedName name="Tabela_10___Resultado_Primário_do_Governo_Central_em_1999_2" localSheetId="8">#REF!</definedName>
    <definedName name="Tabela_10___Resultado_Primário_do_Governo_Central_em_1999_2">#REF!</definedName>
    <definedName name="Tabela_10___Resultado_Primário_do_Governo_Central_em_1999_4" localSheetId="11">#REF!</definedName>
    <definedName name="Tabela_10___Resultado_Primário_do_Governo_Central_em_1999_4" localSheetId="12">#REF!</definedName>
    <definedName name="Tabela_10___Resultado_Primário_do_Governo_Central_em_1999_4" localSheetId="8">#REF!</definedName>
    <definedName name="Tabela_10___Resultado_Primário_do_Governo_Central_em_1999_4">#REF!</definedName>
    <definedName name="Tabela_10___Resultado_Primário_do_Governo_Central_em_1999_6" localSheetId="11">#REF!</definedName>
    <definedName name="Tabela_10___Resultado_Primário_do_Governo_Central_em_1999_6" localSheetId="12">#REF!</definedName>
    <definedName name="Tabela_10___Resultado_Primário_do_Governo_Central_em_1999_6" localSheetId="8">#REF!</definedName>
    <definedName name="Tabela_10___Resultado_Primário_do_Governo_Central_em_1999_6">#REF!</definedName>
    <definedName name="Tabela_10___Resultado_Primário_do_Governo_Central_em_1999_8" localSheetId="11">#REF!</definedName>
    <definedName name="Tabela_10___Resultado_Primário_do_Governo_Central_em_1999_8" localSheetId="12">#REF!</definedName>
    <definedName name="Tabela_10___Resultado_Primário_do_Governo_Central_em_1999_8" localSheetId="8">#REF!</definedName>
    <definedName name="Tabela_10___Resultado_Primário_do_Governo_Central_em_1999_8">#REF!</definedName>
    <definedName name="Tabela_2___Contribuições_Previdenciárias" localSheetId="11">#REF!</definedName>
    <definedName name="Tabela_2___Contribuições_Previdenciárias" localSheetId="12">#REF!</definedName>
    <definedName name="Tabela_2___Contribuições_Previdenciárias" localSheetId="8">#REF!</definedName>
    <definedName name="Tabela_2___Contribuições_Previdenciárias">#REF!</definedName>
    <definedName name="Tabela_2___Contribuições_Previdenciárias_11" localSheetId="11">#REF!</definedName>
    <definedName name="Tabela_2___Contribuições_Previdenciárias_11" localSheetId="12">#REF!</definedName>
    <definedName name="Tabela_2___Contribuições_Previdenciárias_11" localSheetId="8">#REF!</definedName>
    <definedName name="Tabela_2___Contribuições_Previdenciárias_11">#REF!</definedName>
    <definedName name="Tabela_2___Contribuições_Previdenciárias_12" localSheetId="11">#REF!</definedName>
    <definedName name="Tabela_2___Contribuições_Previdenciárias_12" localSheetId="12">#REF!</definedName>
    <definedName name="Tabela_2___Contribuições_Previdenciárias_12" localSheetId="8">#REF!</definedName>
    <definedName name="Tabela_2___Contribuições_Previdenciárias_12">#REF!</definedName>
    <definedName name="Tabela_2___Contribuições_Previdenciárias_13" localSheetId="11">#REF!</definedName>
    <definedName name="Tabela_2___Contribuições_Previdenciárias_13" localSheetId="12">#REF!</definedName>
    <definedName name="Tabela_2___Contribuições_Previdenciárias_13" localSheetId="8">#REF!</definedName>
    <definedName name="Tabela_2___Contribuições_Previdenciárias_13">#REF!</definedName>
    <definedName name="Tabela_2___Contribuições_Previdenciárias_14" localSheetId="11">#REF!</definedName>
    <definedName name="Tabela_2___Contribuições_Previdenciárias_14" localSheetId="12">#REF!</definedName>
    <definedName name="Tabela_2___Contribuições_Previdenciárias_14" localSheetId="8">#REF!</definedName>
    <definedName name="Tabela_2___Contribuições_Previdenciárias_14">#REF!</definedName>
    <definedName name="Tabela_2___Contribuições_Previdenciárias_2" localSheetId="11">#REF!</definedName>
    <definedName name="Tabela_2___Contribuições_Previdenciárias_2" localSheetId="12">#REF!</definedName>
    <definedName name="Tabela_2___Contribuições_Previdenciárias_2" localSheetId="8">#REF!</definedName>
    <definedName name="Tabela_2___Contribuições_Previdenciárias_2">#REF!</definedName>
    <definedName name="Tabela_2___Contribuições_Previdenciárias_4" localSheetId="11">#REF!</definedName>
    <definedName name="Tabela_2___Contribuições_Previdenciárias_4" localSheetId="12">#REF!</definedName>
    <definedName name="Tabela_2___Contribuições_Previdenciárias_4" localSheetId="8">#REF!</definedName>
    <definedName name="Tabela_2___Contribuições_Previdenciárias_4">#REF!</definedName>
    <definedName name="Tabela_2___Contribuições_Previdenciárias_6" localSheetId="11">#REF!</definedName>
    <definedName name="Tabela_2___Contribuições_Previdenciárias_6" localSheetId="12">#REF!</definedName>
    <definedName name="Tabela_2___Contribuições_Previdenciárias_6" localSheetId="8">#REF!</definedName>
    <definedName name="Tabela_2___Contribuições_Previdenciárias_6">#REF!</definedName>
    <definedName name="Tabela_2___Contribuições_Previdenciárias_8" localSheetId="11">#REF!</definedName>
    <definedName name="Tabela_2___Contribuições_Previdenciárias_8" localSheetId="12">#REF!</definedName>
    <definedName name="Tabela_2___Contribuições_Previdenciárias_8" localSheetId="8">#REF!</definedName>
    <definedName name="Tabela_2___Contribuições_Previdenciárias_8">#REF!</definedName>
    <definedName name="Tabela_3___Benefícios__previsto_x_realizado" localSheetId="11">#REF!</definedName>
    <definedName name="Tabela_3___Benefícios__previsto_x_realizado" localSheetId="12">#REF!</definedName>
    <definedName name="Tabela_3___Benefícios__previsto_x_realizado" localSheetId="8">#REF!</definedName>
    <definedName name="Tabela_3___Benefícios__previsto_x_realizado">#REF!</definedName>
    <definedName name="Tabela_3___Benefícios__previsto_x_realizado_11" localSheetId="11">#REF!</definedName>
    <definedName name="Tabela_3___Benefícios__previsto_x_realizado_11" localSheetId="12">#REF!</definedName>
    <definedName name="Tabela_3___Benefícios__previsto_x_realizado_11" localSheetId="8">#REF!</definedName>
    <definedName name="Tabela_3___Benefícios__previsto_x_realizado_11">#REF!</definedName>
    <definedName name="Tabela_3___Benefícios__previsto_x_realizado_12" localSheetId="11">#REF!</definedName>
    <definedName name="Tabela_3___Benefícios__previsto_x_realizado_12" localSheetId="12">#REF!</definedName>
    <definedName name="Tabela_3___Benefícios__previsto_x_realizado_12" localSheetId="8">#REF!</definedName>
    <definedName name="Tabela_3___Benefícios__previsto_x_realizado_12">#REF!</definedName>
    <definedName name="Tabela_3___Benefícios__previsto_x_realizado_13" localSheetId="11">#REF!</definedName>
    <definedName name="Tabela_3___Benefícios__previsto_x_realizado_13" localSheetId="12">#REF!</definedName>
    <definedName name="Tabela_3___Benefícios__previsto_x_realizado_13" localSheetId="8">#REF!</definedName>
    <definedName name="Tabela_3___Benefícios__previsto_x_realizado_13">#REF!</definedName>
    <definedName name="Tabela_3___Benefícios__previsto_x_realizado_14" localSheetId="11">#REF!</definedName>
    <definedName name="Tabela_3___Benefícios__previsto_x_realizado_14" localSheetId="12">#REF!</definedName>
    <definedName name="Tabela_3___Benefícios__previsto_x_realizado_14" localSheetId="8">#REF!</definedName>
    <definedName name="Tabela_3___Benefícios__previsto_x_realizado_14">#REF!</definedName>
    <definedName name="Tabela_3___Benefícios__previsto_x_realizado_2" localSheetId="11">#REF!</definedName>
    <definedName name="Tabela_3___Benefícios__previsto_x_realizado_2" localSheetId="12">#REF!</definedName>
    <definedName name="Tabela_3___Benefícios__previsto_x_realizado_2" localSheetId="8">#REF!</definedName>
    <definedName name="Tabela_3___Benefícios__previsto_x_realizado_2">#REF!</definedName>
    <definedName name="Tabela_3___Benefícios__previsto_x_realizado_4" localSheetId="11">#REF!</definedName>
    <definedName name="Tabela_3___Benefícios__previsto_x_realizado_4" localSheetId="12">#REF!</definedName>
    <definedName name="Tabela_3___Benefícios__previsto_x_realizado_4" localSheetId="8">#REF!</definedName>
    <definedName name="Tabela_3___Benefícios__previsto_x_realizado_4">#REF!</definedName>
    <definedName name="Tabela_3___Benefícios__previsto_x_realizado_6" localSheetId="11">#REF!</definedName>
    <definedName name="Tabela_3___Benefícios__previsto_x_realizado_6" localSheetId="12">#REF!</definedName>
    <definedName name="Tabela_3___Benefícios__previsto_x_realizado_6" localSheetId="8">#REF!</definedName>
    <definedName name="Tabela_3___Benefícios__previsto_x_realizado_6">#REF!</definedName>
    <definedName name="Tabela_3___Benefícios__previsto_x_realizado_8" localSheetId="11">#REF!</definedName>
    <definedName name="Tabela_3___Benefícios__previsto_x_realizado_8" localSheetId="12">#REF!</definedName>
    <definedName name="Tabela_3___Benefícios__previsto_x_realizado_8" localSheetId="8">#REF!</definedName>
    <definedName name="Tabela_3___Benefícios__previsto_x_realizado_8">#REF!</definedName>
    <definedName name="Tabela_4___Receitas_Administradas_pela_SRF__previsto_x_realizado" localSheetId="11">#REF!</definedName>
    <definedName name="Tabela_4___Receitas_Administradas_pela_SRF__previsto_x_realizado" localSheetId="12">#REF!</definedName>
    <definedName name="Tabela_4___Receitas_Administradas_pela_SRF__previsto_x_realizado" localSheetId="8">#REF!</definedName>
    <definedName name="Tabela_4___Receitas_Administradas_pela_SRF__previsto_x_realizado">#REF!</definedName>
    <definedName name="Tabela_4___Receitas_Administradas_pela_SRF__previsto_x_realizado_11" localSheetId="11">#REF!</definedName>
    <definedName name="Tabela_4___Receitas_Administradas_pela_SRF__previsto_x_realizado_11" localSheetId="12">#REF!</definedName>
    <definedName name="Tabela_4___Receitas_Administradas_pela_SRF__previsto_x_realizado_11" localSheetId="8">#REF!</definedName>
    <definedName name="Tabela_4___Receitas_Administradas_pela_SRF__previsto_x_realizado_11">#REF!</definedName>
    <definedName name="Tabela_4___Receitas_Administradas_pela_SRF__previsto_x_realizado_12" localSheetId="11">#REF!</definedName>
    <definedName name="Tabela_4___Receitas_Administradas_pela_SRF__previsto_x_realizado_12" localSheetId="12">#REF!</definedName>
    <definedName name="Tabela_4___Receitas_Administradas_pela_SRF__previsto_x_realizado_12" localSheetId="8">#REF!</definedName>
    <definedName name="Tabela_4___Receitas_Administradas_pela_SRF__previsto_x_realizado_12">#REF!</definedName>
    <definedName name="Tabela_4___Receitas_Administradas_pela_SRF__previsto_x_realizado_13" localSheetId="11">#REF!</definedName>
    <definedName name="Tabela_4___Receitas_Administradas_pela_SRF__previsto_x_realizado_13" localSheetId="12">#REF!</definedName>
    <definedName name="Tabela_4___Receitas_Administradas_pela_SRF__previsto_x_realizado_13" localSheetId="8">#REF!</definedName>
    <definedName name="Tabela_4___Receitas_Administradas_pela_SRF__previsto_x_realizado_13">#REF!</definedName>
    <definedName name="Tabela_4___Receitas_Administradas_pela_SRF__previsto_x_realizado_14" localSheetId="11">#REF!</definedName>
    <definedName name="Tabela_4___Receitas_Administradas_pela_SRF__previsto_x_realizado_14" localSheetId="12">#REF!</definedName>
    <definedName name="Tabela_4___Receitas_Administradas_pela_SRF__previsto_x_realizado_14" localSheetId="8">#REF!</definedName>
    <definedName name="Tabela_4___Receitas_Administradas_pela_SRF__previsto_x_realizado_14">#REF!</definedName>
    <definedName name="Tabela_4___Receitas_Administradas_pela_SRF__previsto_x_realizado_2" localSheetId="11">#REF!</definedName>
    <definedName name="Tabela_4___Receitas_Administradas_pela_SRF__previsto_x_realizado_2" localSheetId="12">#REF!</definedName>
    <definedName name="Tabela_4___Receitas_Administradas_pela_SRF__previsto_x_realizado_2" localSheetId="8">#REF!</definedName>
    <definedName name="Tabela_4___Receitas_Administradas_pela_SRF__previsto_x_realizado_2">#REF!</definedName>
    <definedName name="Tabela_4___Receitas_Administradas_pela_SRF__previsto_x_realizado_4" localSheetId="11">#REF!</definedName>
    <definedName name="Tabela_4___Receitas_Administradas_pela_SRF__previsto_x_realizado_4" localSheetId="12">#REF!</definedName>
    <definedName name="Tabela_4___Receitas_Administradas_pela_SRF__previsto_x_realizado_4" localSheetId="8">#REF!</definedName>
    <definedName name="Tabela_4___Receitas_Administradas_pela_SRF__previsto_x_realizado_4">#REF!</definedName>
    <definedName name="Tabela_4___Receitas_Administradas_pela_SRF__previsto_x_realizado_6" localSheetId="11">#REF!</definedName>
    <definedName name="Tabela_4___Receitas_Administradas_pela_SRF__previsto_x_realizado_6" localSheetId="12">#REF!</definedName>
    <definedName name="Tabela_4___Receitas_Administradas_pela_SRF__previsto_x_realizado_6" localSheetId="8">#REF!</definedName>
    <definedName name="Tabela_4___Receitas_Administradas_pela_SRF__previsto_x_realizado_6">#REF!</definedName>
    <definedName name="Tabela_4___Receitas_Administradas_pela_SRF__previsto_x_realizado_8" localSheetId="11">#REF!</definedName>
    <definedName name="Tabela_4___Receitas_Administradas_pela_SRF__previsto_x_realizado_8" localSheetId="12">#REF!</definedName>
    <definedName name="Tabela_4___Receitas_Administradas_pela_SRF__previsto_x_realizado_8" localSheetId="8">#REF!</definedName>
    <definedName name="Tabela_4___Receitas_Administradas_pela_SRF__previsto_x_realizado_8">#REF!</definedName>
    <definedName name="Tabela_5___Receitas_Administradas_em_Agosto" localSheetId="11">#REF!</definedName>
    <definedName name="Tabela_5___Receitas_Administradas_em_Agosto" localSheetId="12">#REF!</definedName>
    <definedName name="Tabela_5___Receitas_Administradas_em_Agosto" localSheetId="8">#REF!</definedName>
    <definedName name="Tabela_5___Receitas_Administradas_em_Agosto">#REF!</definedName>
    <definedName name="Tabela_5___Receitas_Administradas_em_Agosto_11" localSheetId="11">#REF!</definedName>
    <definedName name="Tabela_5___Receitas_Administradas_em_Agosto_11" localSheetId="12">#REF!</definedName>
    <definedName name="Tabela_5___Receitas_Administradas_em_Agosto_11" localSheetId="8">#REF!</definedName>
    <definedName name="Tabela_5___Receitas_Administradas_em_Agosto_11">#REF!</definedName>
    <definedName name="Tabela_5___Receitas_Administradas_em_Agosto_12" localSheetId="11">#REF!</definedName>
    <definedName name="Tabela_5___Receitas_Administradas_em_Agosto_12" localSheetId="12">#REF!</definedName>
    <definedName name="Tabela_5___Receitas_Administradas_em_Agosto_12" localSheetId="8">#REF!</definedName>
    <definedName name="Tabela_5___Receitas_Administradas_em_Agosto_12">#REF!</definedName>
    <definedName name="Tabela_5___Receitas_Administradas_em_Agosto_13" localSheetId="11">#REF!</definedName>
    <definedName name="Tabela_5___Receitas_Administradas_em_Agosto_13" localSheetId="12">#REF!</definedName>
    <definedName name="Tabela_5___Receitas_Administradas_em_Agosto_13" localSheetId="8">#REF!</definedName>
    <definedName name="Tabela_5___Receitas_Administradas_em_Agosto_13">#REF!</definedName>
    <definedName name="Tabela_5___Receitas_Administradas_em_Agosto_14" localSheetId="11">#REF!</definedName>
    <definedName name="Tabela_5___Receitas_Administradas_em_Agosto_14" localSheetId="12">#REF!</definedName>
    <definedName name="Tabela_5___Receitas_Administradas_em_Agosto_14" localSheetId="8">#REF!</definedName>
    <definedName name="Tabela_5___Receitas_Administradas_em_Agosto_14">#REF!</definedName>
    <definedName name="Tabela_5___Receitas_Administradas_em_Agosto_2" localSheetId="11">#REF!</definedName>
    <definedName name="Tabela_5___Receitas_Administradas_em_Agosto_2" localSheetId="12">#REF!</definedName>
    <definedName name="Tabela_5___Receitas_Administradas_em_Agosto_2" localSheetId="8">#REF!</definedName>
    <definedName name="Tabela_5___Receitas_Administradas_em_Agosto_2">#REF!</definedName>
    <definedName name="Tabela_5___Receitas_Administradas_em_Agosto_4" localSheetId="11">#REF!</definedName>
    <definedName name="Tabela_5___Receitas_Administradas_em_Agosto_4" localSheetId="12">#REF!</definedName>
    <definedName name="Tabela_5___Receitas_Administradas_em_Agosto_4" localSheetId="8">#REF!</definedName>
    <definedName name="Tabela_5___Receitas_Administradas_em_Agosto_4">#REF!</definedName>
    <definedName name="Tabela_5___Receitas_Administradas_em_Agosto_6" localSheetId="11">#REF!</definedName>
    <definedName name="Tabela_5___Receitas_Administradas_em_Agosto_6" localSheetId="12">#REF!</definedName>
    <definedName name="Tabela_5___Receitas_Administradas_em_Agosto_6" localSheetId="8">#REF!</definedName>
    <definedName name="Tabela_5___Receitas_Administradas_em_Agosto_6">#REF!</definedName>
    <definedName name="Tabela_5___Receitas_Administradas_em_Agosto_8" localSheetId="11">#REF!</definedName>
    <definedName name="Tabela_5___Receitas_Administradas_em_Agosto_8" localSheetId="12">#REF!</definedName>
    <definedName name="Tabela_5___Receitas_Administradas_em_Agosto_8" localSheetId="8">#REF!</definedName>
    <definedName name="Tabela_5___Receitas_Administradas_em_Agosto_8">#REF!</definedName>
    <definedName name="Tabela_6___Receitas_Diretamente_Arrecadadas" localSheetId="11">#REF!</definedName>
    <definedName name="Tabela_6___Receitas_Diretamente_Arrecadadas" localSheetId="12">#REF!</definedName>
    <definedName name="Tabela_6___Receitas_Diretamente_Arrecadadas" localSheetId="8">#REF!</definedName>
    <definedName name="Tabela_6___Receitas_Diretamente_Arrecadadas">#REF!</definedName>
    <definedName name="Tabela_6___Receitas_Diretamente_Arrecadadas_11" localSheetId="11">#REF!</definedName>
    <definedName name="Tabela_6___Receitas_Diretamente_Arrecadadas_11" localSheetId="12">#REF!</definedName>
    <definedName name="Tabela_6___Receitas_Diretamente_Arrecadadas_11" localSheetId="8">#REF!</definedName>
    <definedName name="Tabela_6___Receitas_Diretamente_Arrecadadas_11">#REF!</definedName>
    <definedName name="Tabela_6___Receitas_Diretamente_Arrecadadas_12" localSheetId="11">#REF!</definedName>
    <definedName name="Tabela_6___Receitas_Diretamente_Arrecadadas_12" localSheetId="12">#REF!</definedName>
    <definedName name="Tabela_6___Receitas_Diretamente_Arrecadadas_12" localSheetId="8">#REF!</definedName>
    <definedName name="Tabela_6___Receitas_Diretamente_Arrecadadas_12">#REF!</definedName>
    <definedName name="Tabela_6___Receitas_Diretamente_Arrecadadas_13" localSheetId="11">#REF!</definedName>
    <definedName name="Tabela_6___Receitas_Diretamente_Arrecadadas_13" localSheetId="12">#REF!</definedName>
    <definedName name="Tabela_6___Receitas_Diretamente_Arrecadadas_13" localSheetId="8">#REF!</definedName>
    <definedName name="Tabela_6___Receitas_Diretamente_Arrecadadas_13">#REF!</definedName>
    <definedName name="Tabela_6___Receitas_Diretamente_Arrecadadas_14" localSheetId="11">#REF!</definedName>
    <definedName name="Tabela_6___Receitas_Diretamente_Arrecadadas_14" localSheetId="12">#REF!</definedName>
    <definedName name="Tabela_6___Receitas_Diretamente_Arrecadadas_14" localSheetId="8">#REF!</definedName>
    <definedName name="Tabela_6___Receitas_Diretamente_Arrecadadas_14">#REF!</definedName>
    <definedName name="Tabela_6___Receitas_Diretamente_Arrecadadas_2" localSheetId="11">#REF!</definedName>
    <definedName name="Tabela_6___Receitas_Diretamente_Arrecadadas_2" localSheetId="12">#REF!</definedName>
    <definedName name="Tabela_6___Receitas_Diretamente_Arrecadadas_2" localSheetId="8">#REF!</definedName>
    <definedName name="Tabela_6___Receitas_Diretamente_Arrecadadas_2">#REF!</definedName>
    <definedName name="Tabela_6___Receitas_Diretamente_Arrecadadas_4" localSheetId="11">#REF!</definedName>
    <definedName name="Tabela_6___Receitas_Diretamente_Arrecadadas_4" localSheetId="12">#REF!</definedName>
    <definedName name="Tabela_6___Receitas_Diretamente_Arrecadadas_4" localSheetId="8">#REF!</definedName>
    <definedName name="Tabela_6___Receitas_Diretamente_Arrecadadas_4">#REF!</definedName>
    <definedName name="Tabela_6___Receitas_Diretamente_Arrecadadas_6" localSheetId="11">#REF!</definedName>
    <definedName name="Tabela_6___Receitas_Diretamente_Arrecadadas_6" localSheetId="12">#REF!</definedName>
    <definedName name="Tabela_6___Receitas_Diretamente_Arrecadadas_6" localSheetId="8">#REF!</definedName>
    <definedName name="Tabela_6___Receitas_Diretamente_Arrecadadas_6">#REF!</definedName>
    <definedName name="Tabela_6___Receitas_Diretamente_Arrecadadas_8" localSheetId="11">#REF!</definedName>
    <definedName name="Tabela_6___Receitas_Diretamente_Arrecadadas_8" localSheetId="12">#REF!</definedName>
    <definedName name="Tabela_6___Receitas_Diretamente_Arrecadadas_8" localSheetId="8">#REF!</definedName>
    <definedName name="Tabela_6___Receitas_Diretamente_Arrecadadas_8">#REF!</definedName>
    <definedName name="Tabela_7___Déficit_da_Previdência_Social_em_1999" localSheetId="11">#REF!</definedName>
    <definedName name="Tabela_7___Déficit_da_Previdência_Social_em_1999" localSheetId="12">#REF!</definedName>
    <definedName name="Tabela_7___Déficit_da_Previdência_Social_em_1999" localSheetId="8">#REF!</definedName>
    <definedName name="Tabela_7___Déficit_da_Previdência_Social_em_1999">#REF!</definedName>
    <definedName name="Tabela_7___Déficit_da_Previdência_Social_em_1999_11" localSheetId="11">#REF!</definedName>
    <definedName name="Tabela_7___Déficit_da_Previdência_Social_em_1999_11" localSheetId="12">#REF!</definedName>
    <definedName name="Tabela_7___Déficit_da_Previdência_Social_em_1999_11" localSheetId="8">#REF!</definedName>
    <definedName name="Tabela_7___Déficit_da_Previdência_Social_em_1999_11">#REF!</definedName>
    <definedName name="Tabela_7___Déficit_da_Previdência_Social_em_1999_12" localSheetId="11">#REF!</definedName>
    <definedName name="Tabela_7___Déficit_da_Previdência_Social_em_1999_12" localSheetId="12">#REF!</definedName>
    <definedName name="Tabela_7___Déficit_da_Previdência_Social_em_1999_12" localSheetId="8">#REF!</definedName>
    <definedName name="Tabela_7___Déficit_da_Previdência_Social_em_1999_12">#REF!</definedName>
    <definedName name="Tabela_7___Déficit_da_Previdência_Social_em_1999_13" localSheetId="11">#REF!</definedName>
    <definedName name="Tabela_7___Déficit_da_Previdência_Social_em_1999_13" localSheetId="12">#REF!</definedName>
    <definedName name="Tabela_7___Déficit_da_Previdência_Social_em_1999_13" localSheetId="8">#REF!</definedName>
    <definedName name="Tabela_7___Déficit_da_Previdência_Social_em_1999_13">#REF!</definedName>
    <definedName name="Tabela_7___Déficit_da_Previdência_Social_em_1999_14" localSheetId="11">#REF!</definedName>
    <definedName name="Tabela_7___Déficit_da_Previdência_Social_em_1999_14" localSheetId="12">#REF!</definedName>
    <definedName name="Tabela_7___Déficit_da_Previdência_Social_em_1999_14" localSheetId="8">#REF!</definedName>
    <definedName name="Tabela_7___Déficit_da_Previdência_Social_em_1999_14">#REF!</definedName>
    <definedName name="Tabela_7___Déficit_da_Previdência_Social_em_1999_2" localSheetId="11">#REF!</definedName>
    <definedName name="Tabela_7___Déficit_da_Previdência_Social_em_1999_2" localSheetId="12">#REF!</definedName>
    <definedName name="Tabela_7___Déficit_da_Previdência_Social_em_1999_2" localSheetId="8">#REF!</definedName>
    <definedName name="Tabela_7___Déficit_da_Previdência_Social_em_1999_2">#REF!</definedName>
    <definedName name="Tabela_7___Déficit_da_Previdência_Social_em_1999_4" localSheetId="11">#REF!</definedName>
    <definedName name="Tabela_7___Déficit_da_Previdência_Social_em_1999_4" localSheetId="12">#REF!</definedName>
    <definedName name="Tabela_7___Déficit_da_Previdência_Social_em_1999_4" localSheetId="8">#REF!</definedName>
    <definedName name="Tabela_7___Déficit_da_Previdência_Social_em_1999_4">#REF!</definedName>
    <definedName name="Tabela_7___Déficit_da_Previdência_Social_em_1999_6" localSheetId="11">#REF!</definedName>
    <definedName name="Tabela_7___Déficit_da_Previdência_Social_em_1999_6" localSheetId="12">#REF!</definedName>
    <definedName name="Tabela_7___Déficit_da_Previdência_Social_em_1999_6" localSheetId="8">#REF!</definedName>
    <definedName name="Tabela_7___Déficit_da_Previdência_Social_em_1999_6">#REF!</definedName>
    <definedName name="Tabela_7___Déficit_da_Previdência_Social_em_1999_8" localSheetId="11">#REF!</definedName>
    <definedName name="Tabela_7___Déficit_da_Previdência_Social_em_1999_8" localSheetId="12">#REF!</definedName>
    <definedName name="Tabela_7___Déficit_da_Previdência_Social_em_1999_8" localSheetId="8">#REF!</definedName>
    <definedName name="Tabela_7___Déficit_da_Previdência_Social_em_1999_8">#REF!</definedName>
    <definedName name="Tabela_8___Receitas_Administradas__revisão_da_previsão" localSheetId="11">#REF!</definedName>
    <definedName name="Tabela_8___Receitas_Administradas__revisão_da_previsão" localSheetId="12">#REF!</definedName>
    <definedName name="Tabela_8___Receitas_Administradas__revisão_da_previsão" localSheetId="8">#REF!</definedName>
    <definedName name="Tabela_8___Receitas_Administradas__revisão_da_previsão">#REF!</definedName>
    <definedName name="Tabela_8___Receitas_Administradas__revisão_da_previsão_11" localSheetId="11">#REF!</definedName>
    <definedName name="Tabela_8___Receitas_Administradas__revisão_da_previsão_11" localSheetId="12">#REF!</definedName>
    <definedName name="Tabela_8___Receitas_Administradas__revisão_da_previsão_11" localSheetId="8">#REF!</definedName>
    <definedName name="Tabela_8___Receitas_Administradas__revisão_da_previsão_11">#REF!</definedName>
    <definedName name="Tabela_8___Receitas_Administradas__revisão_da_previsão_12" localSheetId="11">#REF!</definedName>
    <definedName name="Tabela_8___Receitas_Administradas__revisão_da_previsão_12" localSheetId="12">#REF!</definedName>
    <definedName name="Tabela_8___Receitas_Administradas__revisão_da_previsão_12" localSheetId="8">#REF!</definedName>
    <definedName name="Tabela_8___Receitas_Administradas__revisão_da_previsão_12">#REF!</definedName>
    <definedName name="Tabela_8___Receitas_Administradas__revisão_da_previsão_13" localSheetId="11">#REF!</definedName>
    <definedName name="Tabela_8___Receitas_Administradas__revisão_da_previsão_13" localSheetId="12">#REF!</definedName>
    <definedName name="Tabela_8___Receitas_Administradas__revisão_da_previsão_13" localSheetId="8">#REF!</definedName>
    <definedName name="Tabela_8___Receitas_Administradas__revisão_da_previsão_13">#REF!</definedName>
    <definedName name="Tabela_8___Receitas_Administradas__revisão_da_previsão_14" localSheetId="11">#REF!</definedName>
    <definedName name="Tabela_8___Receitas_Administradas__revisão_da_previsão_14" localSheetId="12">#REF!</definedName>
    <definedName name="Tabela_8___Receitas_Administradas__revisão_da_previsão_14" localSheetId="8">#REF!</definedName>
    <definedName name="Tabela_8___Receitas_Administradas__revisão_da_previsão_14">#REF!</definedName>
    <definedName name="Tabela_8___Receitas_Administradas__revisão_da_previsão_2" localSheetId="11">#REF!</definedName>
    <definedName name="Tabela_8___Receitas_Administradas__revisão_da_previsão_2" localSheetId="12">#REF!</definedName>
    <definedName name="Tabela_8___Receitas_Administradas__revisão_da_previsão_2" localSheetId="8">#REF!</definedName>
    <definedName name="Tabela_8___Receitas_Administradas__revisão_da_previsão_2">#REF!</definedName>
    <definedName name="Tabela_8___Receitas_Administradas__revisão_da_previsão_4" localSheetId="11">#REF!</definedName>
    <definedName name="Tabela_8___Receitas_Administradas__revisão_da_previsão_4" localSheetId="12">#REF!</definedName>
    <definedName name="Tabela_8___Receitas_Administradas__revisão_da_previsão_4" localSheetId="8">#REF!</definedName>
    <definedName name="Tabela_8___Receitas_Administradas__revisão_da_previsão_4">#REF!</definedName>
    <definedName name="Tabela_8___Receitas_Administradas__revisão_da_previsão_6" localSheetId="11">#REF!</definedName>
    <definedName name="Tabela_8___Receitas_Administradas__revisão_da_previsão_6" localSheetId="12">#REF!</definedName>
    <definedName name="Tabela_8___Receitas_Administradas__revisão_da_previsão_6" localSheetId="8">#REF!</definedName>
    <definedName name="Tabela_8___Receitas_Administradas__revisão_da_previsão_6">#REF!</definedName>
    <definedName name="Tabela_8___Receitas_Administradas__revisão_da_previsão_8" localSheetId="11">#REF!</definedName>
    <definedName name="Tabela_8___Receitas_Administradas__revisão_da_previsão_8" localSheetId="12">#REF!</definedName>
    <definedName name="Tabela_8___Receitas_Administradas__revisão_da_previsão_8" localSheetId="8">#REF!</definedName>
    <definedName name="Tabela_8___Receitas_Administradas__revisão_da_previsão_8">#REF!</definedName>
    <definedName name="Tabela_9___Resultado_Primário_de_1999" localSheetId="11">#REF!</definedName>
    <definedName name="Tabela_9___Resultado_Primário_de_1999" localSheetId="12">#REF!</definedName>
    <definedName name="Tabela_9___Resultado_Primário_de_1999" localSheetId="8">#REF!</definedName>
    <definedName name="Tabela_9___Resultado_Primário_de_1999">#REF!</definedName>
    <definedName name="Tabela_9___Resultado_Primário_de_1999_11" localSheetId="11">#REF!</definedName>
    <definedName name="Tabela_9___Resultado_Primário_de_1999_11" localSheetId="12">#REF!</definedName>
    <definedName name="Tabela_9___Resultado_Primário_de_1999_11" localSheetId="8">#REF!</definedName>
    <definedName name="Tabela_9___Resultado_Primário_de_1999_11">#REF!</definedName>
    <definedName name="Tabela_9___Resultado_Primário_de_1999_12" localSheetId="11">#REF!</definedName>
    <definedName name="Tabela_9___Resultado_Primário_de_1999_12" localSheetId="12">#REF!</definedName>
    <definedName name="Tabela_9___Resultado_Primário_de_1999_12" localSheetId="8">#REF!</definedName>
    <definedName name="Tabela_9___Resultado_Primário_de_1999_12">#REF!</definedName>
    <definedName name="Tabela_9___Resultado_Primário_de_1999_13" localSheetId="11">#REF!</definedName>
    <definedName name="Tabela_9___Resultado_Primário_de_1999_13" localSheetId="12">#REF!</definedName>
    <definedName name="Tabela_9___Resultado_Primário_de_1999_13" localSheetId="8">#REF!</definedName>
    <definedName name="Tabela_9___Resultado_Primário_de_1999_13">#REF!</definedName>
    <definedName name="Tabela_9___Resultado_Primário_de_1999_14" localSheetId="11">#REF!</definedName>
    <definedName name="Tabela_9___Resultado_Primário_de_1999_14" localSheetId="12">#REF!</definedName>
    <definedName name="Tabela_9___Resultado_Primário_de_1999_14" localSheetId="8">#REF!</definedName>
    <definedName name="Tabela_9___Resultado_Primário_de_1999_14">#REF!</definedName>
    <definedName name="Tabela_9___Resultado_Primário_de_1999_2" localSheetId="11">#REF!</definedName>
    <definedName name="Tabela_9___Resultado_Primário_de_1999_2" localSheetId="12">#REF!</definedName>
    <definedName name="Tabela_9___Resultado_Primário_de_1999_2" localSheetId="8">#REF!</definedName>
    <definedName name="Tabela_9___Resultado_Primário_de_1999_2">#REF!</definedName>
    <definedName name="Tabela_9___Resultado_Primário_de_1999_4" localSheetId="11">#REF!</definedName>
    <definedName name="Tabela_9___Resultado_Primário_de_1999_4" localSheetId="12">#REF!</definedName>
    <definedName name="Tabela_9___Resultado_Primário_de_1999_4" localSheetId="8">#REF!</definedName>
    <definedName name="Tabela_9___Resultado_Primário_de_1999_4">#REF!</definedName>
    <definedName name="Tabela_9___Resultado_Primário_de_1999_6" localSheetId="11">#REF!</definedName>
    <definedName name="Tabela_9___Resultado_Primário_de_1999_6" localSheetId="12">#REF!</definedName>
    <definedName name="Tabela_9___Resultado_Primário_de_1999_6" localSheetId="8">#REF!</definedName>
    <definedName name="Tabela_9___Resultado_Primário_de_1999_6">#REF!</definedName>
    <definedName name="Tabela_9___Resultado_Primário_de_1999_8" localSheetId="11">#REF!</definedName>
    <definedName name="Tabela_9___Resultado_Primário_de_1999_8" localSheetId="12">#REF!</definedName>
    <definedName name="Tabela_9___Resultado_Primário_de_1999_8" localSheetId="8">#REF!</definedName>
    <definedName name="Tabela_9___Resultado_Primário_de_1999_8">#REF!</definedName>
    <definedName name="_xlnm.Print_Titles" localSheetId="0">'Anexo 1 _ BAL ORC'!$2:$7</definedName>
    <definedName name="_xlnm.Print_Titles" localSheetId="9">'Anexo 10 _ RPPS'!$1:$11</definedName>
    <definedName name="_xlnm.Print_Titles" localSheetId="11">'Anexo 12 _ SAÚDE'!$1:$6</definedName>
    <definedName name="_xlnm.Print_Titles" localSheetId="13">'Anexo 14 _ Simplificado'!$1:$6</definedName>
    <definedName name="_xlnm.Print_Titles" localSheetId="1">'Anexo 2 _ DP FUNC'!$1:$11</definedName>
    <definedName name="_xlnm.Print_Titles" localSheetId="3">'Anexo 4 _ PREVID '!$1:$7</definedName>
    <definedName name="_xlnm.Print_Titles" localSheetId="4">'Anexo 6 _ RES PRIM e NOM'!$1:$7</definedName>
    <definedName name="_xlnm.Print_Titles" localSheetId="6">'Anexo 7 _  RP'!$1:$10</definedName>
    <definedName name="_xlnm.Print_Titles" localSheetId="7">'Anexo 8 _ ENSINO'!$1:$7</definedName>
  </definedNames>
  <calcPr fullCalcOnLoad="1"/>
</workbook>
</file>

<file path=xl/comments1.xml><?xml version="1.0" encoding="utf-8"?>
<comments xmlns="http://schemas.openxmlformats.org/spreadsheetml/2006/main">
  <authors>
    <author>durvalfbf</author>
    <author>Lutero Almeida Vieira</author>
  </authors>
  <commentList>
    <comment ref="B26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Intergovernamentais - deduções da receita do FUNDEB</t>
        </r>
      </text>
    </comment>
    <comment ref="C26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Intergovernamentais - deduções da receita do FUNDEB</t>
        </r>
      </text>
    </comment>
    <comment ref="C27" authorId="1">
      <text>
        <r>
          <rPr>
            <b/>
            <sz val="9"/>
            <rFont val="Segoe UI"/>
            <family val="2"/>
          </rPr>
          <t xml:space="preserve">Lutero Almeida Vieira:
-Dedução do Fundeb
</t>
        </r>
      </text>
    </comment>
  </commentList>
</comments>
</file>

<file path=xl/sharedStrings.xml><?xml version="1.0" encoding="utf-8"?>
<sst xmlns="http://schemas.openxmlformats.org/spreadsheetml/2006/main" count="1391" uniqueCount="1013">
  <si>
    <t>RELATÓRIO RESUMIDO DA EXECUÇÃO ORÇAMENTÁRIA</t>
  </si>
  <si>
    <t>ORÇAMENTOS FISCAL E DA SEGURIDADE SOCIAL</t>
  </si>
  <si>
    <t>RECEITAS</t>
  </si>
  <si>
    <t xml:space="preserve"> PREVISÃO INICIAL </t>
  </si>
  <si>
    <t xml:space="preserve"> RECEITAS REALIZADAS </t>
  </si>
  <si>
    <t xml:space="preserve"> No Bimestre </t>
  </si>
  <si>
    <t>RECEITAS CORRENTES</t>
  </si>
  <si>
    <t>Impostos</t>
  </si>
  <si>
    <t>Taxas</t>
  </si>
  <si>
    <t xml:space="preserve"> -   </t>
  </si>
  <si>
    <t>Contribuicões Sociais</t>
  </si>
  <si>
    <t>RECEITA PATRIMONIAL</t>
  </si>
  <si>
    <t>Receitas Imobiliárias</t>
  </si>
  <si>
    <t>Receitas de Valores Mobiliários</t>
  </si>
  <si>
    <t>Outras Receitas Patrimoniais</t>
  </si>
  <si>
    <t>RECEITA DE SERVICOS</t>
  </si>
  <si>
    <t>Receita de Serviços</t>
  </si>
  <si>
    <t>TRANSFERENCIAS CORRENTES</t>
  </si>
  <si>
    <t>OUTRAS RECEITAS CORRENTES</t>
  </si>
  <si>
    <t>RECEITAS DE CAPITAL</t>
  </si>
  <si>
    <t xml:space="preserve">OPERACOES DE CREDITO  </t>
  </si>
  <si>
    <t>ALIENACAO DE BENS</t>
  </si>
  <si>
    <t>Alienação de Bens Móveis</t>
  </si>
  <si>
    <t>Alienação de Bens Imóveis</t>
  </si>
  <si>
    <t>TRANSFERENCIAS DE CAPITAL</t>
  </si>
  <si>
    <t>OUTRAS RECEITAS DE CAPITAL</t>
  </si>
  <si>
    <t>Receitas de Capital Diversas</t>
  </si>
  <si>
    <t>RECEITAS INTRA-ORÇAMENTÁRIAS (II)</t>
  </si>
  <si>
    <t>SUBTOTAL DAS RECEITAS  (III = I + II)</t>
  </si>
  <si>
    <t xml:space="preserve"> Mobiliária</t>
  </si>
  <si>
    <t>Contratual</t>
  </si>
  <si>
    <t>DÉFICIT (VI)</t>
  </si>
  <si>
    <t>SALDO DE EXERCÍCIOS ANTERIORES UTILIZADOS PARA CRÉDITOS ADICIONAIS</t>
  </si>
  <si>
    <t xml:space="preserve"> DOTAÇÃO </t>
  </si>
  <si>
    <t>DESPESAS</t>
  </si>
  <si>
    <t xml:space="preserve">  INICIAL         </t>
  </si>
  <si>
    <t xml:space="preserve"> ATUALIZADA   </t>
  </si>
  <si>
    <t xml:space="preserve"> (d) </t>
  </si>
  <si>
    <t xml:space="preserve"> (e) </t>
  </si>
  <si>
    <t xml:space="preserve"> (h) </t>
  </si>
  <si>
    <t>DESPESAS (EXCETO INTRA-ORÇ.) (VIII)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</si>
  <si>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</si>
  <si>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</si>
  <si>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</si>
  <si>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</si>
  <si>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</si>
  <si>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</si>
  <si>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</si>
  <si>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</si>
  <si>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</si>
  <si>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</si>
  <si>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>DESPESAS INTRA-ORÇAMENTÁRIAS (IX)</t>
  </si>
  <si>
    <t>SUBTOTAL DAS DESPESAS (X) = VIII + IX</t>
  </si>
  <si>
    <t>Amortização da Dívida Interna</t>
  </si>
  <si>
    <t>Dívida Mobiliária</t>
  </si>
  <si>
    <t>Outras Dívidas</t>
  </si>
  <si>
    <t>Amortização da Dívida Externa</t>
  </si>
  <si>
    <t>SUPERÁVIT (XIII)</t>
  </si>
  <si>
    <t>FONTE: SECRETARIA MUNICIPAL DA FAZENDA</t>
  </si>
  <si>
    <t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</si>
  <si>
    <t>a) Despesas liquidadas, consideradas aquelas em que houve a entrega do material ou serviço, nos termos do art. 63 da Lei 4.320/64;</t>
  </si>
  <si>
    <t>b) Despesas empenhadas mas não liquidadas, inscritas em Restos a Pagar não-processados, consideradas liquidadas no encerramento do exercício, por força do art.35, inciso II da Lei 4.320/64.</t>
  </si>
  <si>
    <t>Função Sub-Função</t>
  </si>
  <si>
    <t>%</t>
  </si>
  <si>
    <t>No Bimestre</t>
  </si>
  <si>
    <t>Até o Bimestre</t>
  </si>
  <si>
    <t>(a)</t>
  </si>
  <si>
    <t>(b)</t>
  </si>
  <si>
    <t>(b/a)</t>
  </si>
  <si>
    <t xml:space="preserve"> LEGISLATIVA</t>
  </si>
  <si>
    <t xml:space="preserve">    Ação Legislativa</t>
  </si>
  <si>
    <t xml:space="preserve">   Administração Geral</t>
  </si>
  <si>
    <t xml:space="preserve"> ESSENCIAL À JUSTIÇA</t>
  </si>
  <si>
    <t xml:space="preserve">    Rep. Judicial e Extrajudicial</t>
  </si>
  <si>
    <t xml:space="preserve">    Administração Geral</t>
  </si>
  <si>
    <t xml:space="preserve"> ADMINISTRAÇÃO</t>
  </si>
  <si>
    <t xml:space="preserve">   Planejamento e Orçamento</t>
  </si>
  <si>
    <t xml:space="preserve">   Administração Financeira</t>
  </si>
  <si>
    <t xml:space="preserve">   Controle Interno</t>
  </si>
  <si>
    <t xml:space="preserve">   Tecnologia da Informação</t>
  </si>
  <si>
    <t xml:space="preserve">   Formação de Recursos Humanos</t>
  </si>
  <si>
    <t xml:space="preserve"> SEGURANÇA PÚBLICA</t>
  </si>
  <si>
    <t xml:space="preserve">   Policiamento </t>
  </si>
  <si>
    <t xml:space="preserve">   Defesa Civil </t>
  </si>
  <si>
    <t xml:space="preserve"> ASSISTÊNCIA SOCIAL</t>
  </si>
  <si>
    <t xml:space="preserve">   Assistência ao Idoso</t>
  </si>
  <si>
    <t xml:space="preserve">   Assistência ao Portador Deficiência</t>
  </si>
  <si>
    <t xml:space="preserve">   Assistência Comunitária</t>
  </si>
  <si>
    <t xml:space="preserve"> PREVIDÊNCIA SOCIAL</t>
  </si>
  <si>
    <t xml:space="preserve">   Previdência Básica</t>
  </si>
  <si>
    <t xml:space="preserve">   Previdência do Regime Estatutário</t>
  </si>
  <si>
    <t xml:space="preserve"> SAÚDE</t>
  </si>
  <si>
    <t xml:space="preserve">   Vigilância Sanitária </t>
  </si>
  <si>
    <t xml:space="preserve">   Vigilância Epidemiológica</t>
  </si>
  <si>
    <t xml:space="preserve"> TRABALHO</t>
  </si>
  <si>
    <t xml:space="preserve">   Empregabilidade</t>
  </si>
  <si>
    <t xml:space="preserve">   Fomento ao Trabalho</t>
  </si>
  <si>
    <t xml:space="preserve">   Ensino Profissional</t>
  </si>
  <si>
    <t xml:space="preserve"> EDUCAÇÃO</t>
  </si>
  <si>
    <t xml:space="preserve">   Ensino Fundamental</t>
  </si>
  <si>
    <t xml:space="preserve">   Educação Infantil </t>
  </si>
  <si>
    <t xml:space="preserve">   Educação de Jovens e Adultos</t>
  </si>
  <si>
    <t xml:space="preserve">   Educação Especial</t>
  </si>
  <si>
    <t xml:space="preserve"> CULTURA</t>
  </si>
  <si>
    <t xml:space="preserve">   Pat. Hist. Art. e Arqueológico</t>
  </si>
  <si>
    <t xml:space="preserve">   Difusão Cultural</t>
  </si>
  <si>
    <t xml:space="preserve"> DIREITOS DA CIDADANIA</t>
  </si>
  <si>
    <t xml:space="preserve">   Alimentação e Nutrição</t>
  </si>
  <si>
    <t xml:space="preserve"> URBANISMO</t>
  </si>
  <si>
    <t xml:space="preserve">   Normatização e Fiscalização</t>
  </si>
  <si>
    <t xml:space="preserve">   Infra-estrutura urbana</t>
  </si>
  <si>
    <t xml:space="preserve">   Serviços Urbanos</t>
  </si>
  <si>
    <t xml:space="preserve"> HABITAÇÃO</t>
  </si>
  <si>
    <t xml:space="preserve">   Habitação Urbana</t>
  </si>
  <si>
    <t xml:space="preserve"> SANEAMENTO</t>
  </si>
  <si>
    <t xml:space="preserve">   Saneamento Básico Urbano</t>
  </si>
  <si>
    <t xml:space="preserve"> GESTÃO AMBIENTAL</t>
  </si>
  <si>
    <t xml:space="preserve">   Controle Ambiental</t>
  </si>
  <si>
    <t xml:space="preserve">   Preservação e Conserv. Ambiental</t>
  </si>
  <si>
    <t xml:space="preserve"> AGRICULTURA</t>
  </si>
  <si>
    <t xml:space="preserve">   Promoção da Produção Vegetal</t>
  </si>
  <si>
    <t xml:space="preserve">   Abastecimento</t>
  </si>
  <si>
    <t xml:space="preserve"> COMÉRCIO E SERVIÇOS</t>
  </si>
  <si>
    <t xml:space="preserve">   Turismo</t>
  </si>
  <si>
    <t xml:space="preserve"> TRANSPORTE</t>
  </si>
  <si>
    <t xml:space="preserve">   Transporte Rodoviário</t>
  </si>
  <si>
    <t xml:space="preserve"> DESPORTOS E LAZER</t>
  </si>
  <si>
    <t xml:space="preserve">   Lazer</t>
  </si>
  <si>
    <t xml:space="preserve"> ENCARGOS ESPECIAIS</t>
  </si>
  <si>
    <t xml:space="preserve">   Serviço da Dívida Interna</t>
  </si>
  <si>
    <t xml:space="preserve">   Outros Encargos Especiais</t>
  </si>
  <si>
    <t xml:space="preserve"> RESERVA DE CONTINGÊNCIA</t>
  </si>
  <si>
    <t xml:space="preserve">   Reserva de Contingência</t>
  </si>
  <si>
    <t>PREFEITURA MUNICIPAL DE SÃO LUÍS (MA)</t>
  </si>
  <si>
    <t>DEMONSTRATIVO DA RECEITA CORRENTE LÍQUIDA</t>
  </si>
  <si>
    <t>ESPECIFICAÇÃO</t>
  </si>
  <si>
    <t>mai-09</t>
  </si>
  <si>
    <t>jun-09</t>
  </si>
  <si>
    <t>RECEITAS CORRENTES (I)</t>
  </si>
  <si>
    <t>Receita Patrimonial</t>
  </si>
  <si>
    <t>Transferências Correntes</t>
  </si>
  <si>
    <t>Outras Receitas Correntes</t>
  </si>
  <si>
    <t>DEDUÇÕES (II)</t>
  </si>
  <si>
    <t>ORÇAMENTO DA SEGURIDADE SOCIAL</t>
  </si>
  <si>
    <t xml:space="preserve">PREVISÃO INICIAL     </t>
  </si>
  <si>
    <t>PREVISÃO      ATUALIZADA</t>
  </si>
  <si>
    <t>RECEITAS REALIZADAS</t>
  </si>
  <si>
    <t>Alienação de Bens, Direitos e Ativos</t>
  </si>
  <si>
    <t>Amortização de Empréstimos</t>
  </si>
  <si>
    <t>Outras Receitas de Capital</t>
  </si>
  <si>
    <t>RECEITAS PREVIDENCIÁRIAS - RPPS</t>
  </si>
  <si>
    <t xml:space="preserve">DOTAÇÃO INICIAL     </t>
  </si>
  <si>
    <t>DOTAÇÃO         ATUALIZADA</t>
  </si>
  <si>
    <t>INSCRITAS EM RPNP</t>
  </si>
  <si>
    <t>Aposentadorias</t>
  </si>
  <si>
    <t>Pensões</t>
  </si>
  <si>
    <t>Outros Benefícios Previdenciários</t>
  </si>
  <si>
    <t>Reformas</t>
  </si>
  <si>
    <t>Outras Despesas Correntes</t>
  </si>
  <si>
    <t>DOTAÇÃO</t>
  </si>
  <si>
    <t>DESPESAS LIQUIDADAS</t>
  </si>
  <si>
    <t>INICIAL</t>
  </si>
  <si>
    <t>ATUALIZADA</t>
  </si>
  <si>
    <t>RESERVA ORÇAMENTÁRIA DO RPPS</t>
  </si>
  <si>
    <t>VALOR</t>
  </si>
  <si>
    <t>BENS E DIREITOS DO RPPS</t>
  </si>
  <si>
    <t>PERÍODO DE REFERÊNCIA</t>
  </si>
  <si>
    <t>SALDO</t>
  </si>
  <si>
    <t>PREFEITURA MUNICIPAL DE SÃO LUÍS</t>
  </si>
  <si>
    <t>PREVISÃO ATUALIZADA</t>
  </si>
  <si>
    <t>Demais Receitas Correntes</t>
  </si>
  <si>
    <t>Transferências de Capital</t>
  </si>
  <si>
    <t xml:space="preserve"> Convênios</t>
  </si>
  <si>
    <t xml:space="preserve"> Outras Transferências de Capital</t>
  </si>
  <si>
    <t>Pessoal e Encargos Sociais</t>
  </si>
  <si>
    <t>Investimentos</t>
  </si>
  <si>
    <t>Inversões Financeiras</t>
  </si>
  <si>
    <t>Demais Inversões Financeiras</t>
  </si>
  <si>
    <t xml:space="preserve">                                   &lt;ESFERA DE GOVERNO&gt;</t>
  </si>
  <si>
    <t>Continuação (2/2)</t>
  </si>
  <si>
    <t>DEMONSTRATIVO DA PROJEÇÃO ATUARIAL DO REGIME GERAL DE PREVIDÊNCIA SOCIAL</t>
  </si>
  <si>
    <t>&lt;PERÍODO DE REFERÊNCIA&gt;</t>
  </si>
  <si>
    <t>TABELA DE HIPÓTESES</t>
  </si>
  <si>
    <t>EXERCÍCIO</t>
  </si>
  <si>
    <t>MASSA SALARIAL</t>
  </si>
  <si>
    <t>CRESCIMENTO VEGETATIVO</t>
  </si>
  <si>
    <t>TAXA DE INFLAÇÃO ANUAL (IGP-DI Média)</t>
  </si>
  <si>
    <t>VARIAÇÃO REAL DO PIB</t>
  </si>
  <si>
    <t>REAJUSTE DO SALÁRIO MÍNIMO</t>
  </si>
  <si>
    <t>REAJUSTE DOS DEMAIS BENEFÍCIOS</t>
  </si>
  <si>
    <t>FONTES:</t>
  </si>
  <si>
    <t>DEMONSTRATIVO DOS RESTOS A PAGAR POR PODER E ÓRGÃO</t>
  </si>
  <si>
    <t>PODER / ÓRGÃO</t>
  </si>
  <si>
    <t>Inscritos</t>
  </si>
  <si>
    <t>RESTOS A PAGAR (EXCETO INTRA-ORÇAMENTÁRIAS) - I</t>
  </si>
  <si>
    <t xml:space="preserve">         Câmara Municipal</t>
  </si>
  <si>
    <t xml:space="preserve">    EXECUTIVO</t>
  </si>
  <si>
    <t xml:space="preserve">          Secretaria Municipal de Governo</t>
  </si>
  <si>
    <t xml:space="preserve">          Gabinete do Vice-prefeito</t>
  </si>
  <si>
    <t xml:space="preserve">          Procuradoria Geral do Município</t>
  </si>
  <si>
    <t xml:space="preserve">          Controladoria Geral do Município</t>
  </si>
  <si>
    <t xml:space="preserve">          Comissão Permanente de Licitação</t>
  </si>
  <si>
    <t xml:space="preserve">          Secretaria Municipal de Segurança com Cidadania</t>
  </si>
  <si>
    <t xml:space="preserve">          Recursos sob a Superv. da  SEMFAZ</t>
  </si>
  <si>
    <t xml:space="preserve">          Recursos sob a Superv. da  SEMAD</t>
  </si>
  <si>
    <t xml:space="preserve">          Instituto Municipal de Paisagem Urbana</t>
  </si>
  <si>
    <t xml:space="preserve">          Instituto de Previdência e Assistência</t>
  </si>
  <si>
    <t xml:space="preserve">          Fundo Municipal da Assistência Social</t>
  </si>
  <si>
    <t xml:space="preserve">          FUNDEB</t>
  </si>
  <si>
    <t>TOTAL</t>
  </si>
  <si>
    <t>DEMONSTRATIVO DAS RECEITAS E DESPESAS COM MANUTENÇÃO E DESENVOLVIMENTO DO ENSINO - MDE</t>
  </si>
  <si>
    <t>PREVISÃO INICIAL</t>
  </si>
  <si>
    <t>1.1 Receita Resultante do IPTU</t>
  </si>
  <si>
    <t>1.2 Receita Resultante do ITBI</t>
  </si>
  <si>
    <t>1.3 Receita Resultante do ISS</t>
  </si>
  <si>
    <t xml:space="preserve">2.1 Cota-Parte FPM </t>
  </si>
  <si>
    <t xml:space="preserve">2.2 Cota-Parte ICMS </t>
  </si>
  <si>
    <t xml:space="preserve">2.5 Cota-Parte ITR </t>
  </si>
  <si>
    <t xml:space="preserve">2.6 Cota-Parte IPVA </t>
  </si>
  <si>
    <t xml:space="preserve">2.7 Cota-Parte IOF-Ouro </t>
  </si>
  <si>
    <t>3. TOTAL DA RECEITA DE IMPOSTOS (1+2)</t>
  </si>
  <si>
    <t>RECEITAS ADICIONAIS PARA FINANCIAMENTO DO ENSINO</t>
  </si>
  <si>
    <t>RECEITAS DO FUNDEB</t>
  </si>
  <si>
    <t>11.1 Transferências de Recursos do FUNDEB</t>
  </si>
  <si>
    <t>11.2 Complementação da União ao  FUNDEB</t>
  </si>
  <si>
    <t>11.3 Receita de Aplicação Financeira dos Recursos do FUNDEB</t>
  </si>
  <si>
    <t>[se RESULTADO LÍQUIDO DA TRANSFERÊNCIAS (11 &gt; 0) = ACRÉSCIMO RESULTANTE DAS TRANSF. DO FUNDEB</t>
  </si>
  <si>
    <t>DESPESAS DO FUNDEB</t>
  </si>
  <si>
    <t>DOTAÇÃO INICIAL</t>
  </si>
  <si>
    <t>DOTAÇÃO ATUALIZADA</t>
  </si>
  <si>
    <t>(d)</t>
  </si>
  <si>
    <t xml:space="preserve"> 13. PAGAMENTO DOS PROFISSIONAIS DO MAGISTÉRIO </t>
  </si>
  <si>
    <t xml:space="preserve"> 14. OUTRAS DESPESAS 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</si>
  <si>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</si>
  <si>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</si>
  <si>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</si>
  <si>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CONTROLE DA UTILIZAÇÃO DE RECURSOS NO EXERCÍCIO SUBSEQÜENTE</t>
  </si>
  <si>
    <t>(e)</t>
  </si>
  <si>
    <t>(f) = (e/d)x100</t>
  </si>
  <si>
    <t>OUTRAS INFORMAÇÕES PARA CONTROLE</t>
  </si>
  <si>
    <t>RESTOS A PAGAR INSCRITOS COM DISPONIBILIDADE FINANCEIRA
DE RECURSOS DE IMPOSTOS VINCULADOS AO ENSINO</t>
  </si>
  <si>
    <t>SALDO ATÉ O BIMESTRE</t>
  </si>
  <si>
    <t>PREFEITURA DE SÃO LUÍS (MA)</t>
  </si>
  <si>
    <t>DEMONSTRATIVO SIMPLIFICADO DO RELATÓRIO RESUMIDO DA EXECUÇÃO ORÇAMENTÁRIA</t>
  </si>
  <si>
    <t xml:space="preserve">BALANÇO ORÇAMENTÁRIO 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</si>
  <si>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</si>
  <si>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</si>
  <si>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</si>
  <si>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</si>
  <si>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</si>
  <si>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 xml:space="preserve"> % em Relação à Meta</t>
  </si>
  <si>
    <t>Inscrição</t>
  </si>
  <si>
    <t>RESTOS A PAGAR PROCESSADOS</t>
  </si>
  <si>
    <t>RESTOS A PAGAR NÃO-PROCESSADOS</t>
  </si>
  <si>
    <t>Valor apurado</t>
  </si>
  <si>
    <t>Limites Constitucionais Anuais</t>
  </si>
  <si>
    <t>até 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</si>
  <si>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</si>
  <si>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</si>
  <si>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</si>
  <si>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</si>
  <si>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</si>
  <si>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</si>
  <si>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</si>
  <si>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</si>
  <si>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</si>
  <si>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</si>
  <si>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</si>
  <si>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</si>
  <si>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DESPESAS DE CARÁTER CONTINUADO DERIVADAS DE  PPP´S CONTRATADAS</t>
  </si>
  <si>
    <t>VALOR APURADO NO EXERCÍCIO CORRENTE</t>
  </si>
  <si>
    <t xml:space="preserve">Total das Despesas / RCL (%) </t>
  </si>
  <si>
    <t xml:space="preserve">   Suporte Profilático e Terapêutico</t>
  </si>
  <si>
    <t xml:space="preserve">          Fundação Municipal de Patrimônio Histórico </t>
  </si>
  <si>
    <t>1.4 Receita Resultante do IRRF</t>
  </si>
  <si>
    <t>1.5 Receita Resultante do ITR</t>
  </si>
  <si>
    <t xml:space="preserve">     5.1  Transferências do Salário-Educação</t>
  </si>
  <si>
    <t xml:space="preserve">     6.1 Transferências de Convênios</t>
  </si>
  <si>
    <t xml:space="preserve">     6.2 Aplicação Financeira dos Recursos de Convênios</t>
  </si>
  <si>
    <t>EXERCÍCIO ANTERIOR</t>
  </si>
  <si>
    <t>[se RESULTADO LÍQUIDO DAS TRANSFERÊNCIAS (11 &lt; 0) = DECRÉSCIMO RESULTANTE DAS TRANSF. DO FUNDEB</t>
  </si>
  <si>
    <t xml:space="preserve">   Direitos indiv, coletivos e difusos</t>
  </si>
  <si>
    <t xml:space="preserve"> 15. TOTAL DAS DESPESAS DO FUNDEB (13+14)</t>
  </si>
  <si>
    <t>RESTOS A PAGAR NÃO PROCESSADOS</t>
  </si>
  <si>
    <t xml:space="preserve">     LEGISLATIVO</t>
  </si>
  <si>
    <t xml:space="preserve">      ADMINISTRAÇÃO DIRETA</t>
  </si>
  <si>
    <t xml:space="preserve">          Secretaria Municipal de Articulação Desenv. Metropolitano</t>
  </si>
  <si>
    <t xml:space="preserve">          Secretaria Municipal de Articulação Institucional</t>
  </si>
  <si>
    <t xml:space="preserve">          Secretaria Municipal de Comunicação </t>
  </si>
  <si>
    <t xml:space="preserve">          Secretaria Municipal de Obras e Serviços Públicos</t>
  </si>
  <si>
    <t xml:space="preserve">          Manutenção e Desenvolvimento do Ensino</t>
  </si>
  <si>
    <t xml:space="preserve">          Secretaria Municipal da Fazenda </t>
  </si>
  <si>
    <t xml:space="preserve">          Secretaria Municipal de Trânsito e Transportes Urbanos</t>
  </si>
  <si>
    <t xml:space="preserve">          Secretaria Municipal de Administração </t>
  </si>
  <si>
    <t xml:space="preserve">          Secretaria Municipal de Urbanismo e Habitação </t>
  </si>
  <si>
    <t xml:space="preserve">          Secretaria Municipal de Turismo </t>
  </si>
  <si>
    <t xml:space="preserve">          Secretaria Municipal de Planejamento e Desenvolvimento</t>
  </si>
  <si>
    <t xml:space="preserve">          Secretaria Municipal de Informações e Tecnologia</t>
  </si>
  <si>
    <t xml:space="preserve">          Secretaria Municipal de Segurança Alimentar</t>
  </si>
  <si>
    <t xml:space="preserve">          Secretaria Municipal da Criança e Assistência Social</t>
  </si>
  <si>
    <t xml:space="preserve">          Secretaria Municipal de Desporto e Lazer</t>
  </si>
  <si>
    <t xml:space="preserve">          Secretaria Municipal de Agricultura, Pesca e Abastecimento</t>
  </si>
  <si>
    <t xml:space="preserve">          Secretaria Extraordinária de Projetos Especiais</t>
  </si>
  <si>
    <t xml:space="preserve">      ADMINISTRAÇÃO INDIRETA</t>
  </si>
  <si>
    <t xml:space="preserve">        AUTARQUIAS</t>
  </si>
  <si>
    <t xml:space="preserve">          Hospital Municipal Djalma Marques </t>
  </si>
  <si>
    <t xml:space="preserve">          Instituto da Cidade </t>
  </si>
  <si>
    <t xml:space="preserve">        FUNDOS</t>
  </si>
  <si>
    <t xml:space="preserve">          Fundo Municipal de Saúde </t>
  </si>
  <si>
    <t xml:space="preserve">          Fundo Especial Municipal de Transportes</t>
  </si>
  <si>
    <t xml:space="preserve">          Fundo Municipal Direitos Criança e do Adolescente</t>
  </si>
  <si>
    <t>DEMONSTRATIVO DAS PARCERIAS PÚBLICO-PRIVADAS</t>
  </si>
  <si>
    <t>TOTAL DE ATIVOS</t>
  </si>
  <si>
    <t xml:space="preserve">    Provisões de PPP</t>
  </si>
  <si>
    <t>DESPESAS DE PPP</t>
  </si>
  <si>
    <t>&lt;EC+1&gt;</t>
  </si>
  <si>
    <t>&lt;EC+2&gt;</t>
  </si>
  <si>
    <t>&lt;EC+3&gt;</t>
  </si>
  <si>
    <t>&lt;EC+4&gt;</t>
  </si>
  <si>
    <t>&lt;EC+5&gt;</t>
  </si>
  <si>
    <t>&lt;EC+6&gt;</t>
  </si>
  <si>
    <t>&lt;EC+7&gt;</t>
  </si>
  <si>
    <t>&lt;EC+8&gt;</t>
  </si>
  <si>
    <t>&lt;EC+9&gt;</t>
  </si>
  <si>
    <t>DESPESAS EMPENHADAS</t>
  </si>
  <si>
    <t xml:space="preserve">RREO - ANEXO 2 (LRF - Art.52, inciso II, alínea "c") </t>
  </si>
  <si>
    <t xml:space="preserve"> RREO - ANEXO 6 (LRF - art 53, inciso III)</t>
  </si>
  <si>
    <t xml:space="preserve"> RREO - ANEXO 7 (LRF - art. 53, inciso V) </t>
  </si>
  <si>
    <t xml:space="preserve">RREO - ANEXO 8 (LDB, art. 72) </t>
  </si>
  <si>
    <t xml:space="preserve">    1.2.1 - ITBI</t>
  </si>
  <si>
    <t xml:space="preserve">    1.1.1. - IPTU</t>
  </si>
  <si>
    <t xml:space="preserve">    1.3.1 - ISS</t>
  </si>
  <si>
    <t xml:space="preserve">    1.5.1 - ITR</t>
  </si>
  <si>
    <t xml:space="preserve">    2.1.1 - Parcela referente à CF - art. 159, I, alínea b</t>
  </si>
  <si>
    <t xml:space="preserve">    2.1.2 - Parcela referente à CF - art. 159, I, alínea d</t>
  </si>
  <si>
    <t>10.1 Cota-Parte FPM destinada ao FUNDEB - (20% de 2.1.1)</t>
  </si>
  <si>
    <t>10.2 Cota-Parte ICMS destinada ao FUNDEB - (20% de 2.2)</t>
  </si>
  <si>
    <t>RREO - ANEXO 14 (LRF, art. 48)</t>
  </si>
  <si>
    <t>RREO - ANEXO 13 (Lei nº 11.079, de 30.12.2004, arts. 22, 25 e 28)</t>
  </si>
  <si>
    <t xml:space="preserve"> RREO - ANEXO 12 (LC 141/2012, art. 35)</t>
  </si>
  <si>
    <t>RECEITA DE TRANSFERÊNCIAS CONSTITUCIONAIS E LEGAIS (II)</t>
  </si>
  <si>
    <t xml:space="preserve">    Cota-Parte do FPM</t>
  </si>
  <si>
    <t xml:space="preserve">    Cota-Parte do ITR</t>
  </si>
  <si>
    <t xml:space="preserve">    Cota-Parte do IPVA</t>
  </si>
  <si>
    <t xml:space="preserve">    Cota-Parte do ICMS</t>
  </si>
  <si>
    <t xml:space="preserve"> Até o Bimestre</t>
  </si>
  <si>
    <t>(g)</t>
  </si>
  <si>
    <t xml:space="preserve">   Receitas Realizadas </t>
  </si>
  <si>
    <t xml:space="preserve">   Deficit Orçamentário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</si>
  <si>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</si>
  <si>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</si>
  <si>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</si>
  <si>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</si>
  <si>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Superavit Orçamentário</t>
  </si>
  <si>
    <t xml:space="preserve">   Previsão Inicial </t>
  </si>
  <si>
    <t xml:space="preserve">   Previsão Atualizada</t>
  </si>
  <si>
    <t xml:space="preserve">   Saldos de Exercícios Anteriores - (Utilizados para Créditos Adicionais)</t>
  </si>
  <si>
    <t>Meta Fixada no AMF da LDO</t>
  </si>
  <si>
    <t xml:space="preserve">   Poder Executivo</t>
  </si>
  <si>
    <t xml:space="preserve">   Poder Legislativo</t>
  </si>
  <si>
    <t>% Aplicado até o Bimestre</t>
  </si>
  <si>
    <t>Mínimo Anual de &lt;18% / 25%&gt; das Receitas de Impostos em MDE</t>
  </si>
  <si>
    <t>Limite Constitucional Anual</t>
  </si>
  <si>
    <t>% Mínimo a Aplicar no Exercício</t>
  </si>
  <si>
    <t>DESPESAS COM AÇÕES E SERVIÇOS PÚBLICOS DE SAÚDE</t>
  </si>
  <si>
    <t>Resultado Apurado até o Bimestre</t>
  </si>
  <si>
    <t>Pagamento Até o Bimestre</t>
  </si>
  <si>
    <t>Cancelamento Até o Bimestre</t>
  </si>
  <si>
    <t>Saldo a Pagar</t>
  </si>
  <si>
    <t>Exercício 1</t>
  </si>
  <si>
    <t>RECEITAS (EXC. INTRA-ORÇAMENTÁRIAS) - I</t>
  </si>
  <si>
    <t xml:space="preserve">   Direitos individuais, colet. e difusos</t>
  </si>
  <si>
    <t xml:space="preserve">          Secretaria Municipal de Meio-Ambiente</t>
  </si>
  <si>
    <t xml:space="preserve">PREFEITURA MUNICIPAL DE SÃO LUÍS </t>
  </si>
  <si>
    <t xml:space="preserve">   Transporte Hidroviário</t>
  </si>
  <si>
    <t xml:space="preserve">   Assistência criança e ao adolescente</t>
  </si>
  <si>
    <t xml:space="preserve">   Proteção e Benefício ao Trabalhador</t>
  </si>
  <si>
    <t xml:space="preserve">   Promoção da Produção Animal</t>
  </si>
  <si>
    <t xml:space="preserve"> COMUNICAÇÕES</t>
  </si>
  <si>
    <t xml:space="preserve">    Comunicação Social</t>
  </si>
  <si>
    <t xml:space="preserve">   Reserva de Contingência RPPS</t>
  </si>
  <si>
    <t>Complementação da União ao FUNDEB - Min. Anual de 10%  Total de Rec. do FUNDEB</t>
  </si>
  <si>
    <t>RREO - ANEXO 3 (LRF - Art. 53, Inciso I)</t>
  </si>
  <si>
    <t xml:space="preserve">          Fundo Socioambiental do Município</t>
  </si>
  <si>
    <t xml:space="preserve">Até o Bimestre </t>
  </si>
  <si>
    <t>DESPESA LIQUIDADAS</t>
  </si>
  <si>
    <t>No Exercício</t>
  </si>
  <si>
    <t>APORTES REALIZADOS</t>
  </si>
  <si>
    <t>No Exercício Anterior</t>
  </si>
  <si>
    <t>VALOR CORRENTE</t>
  </si>
  <si>
    <t xml:space="preserve">     5.2  Transferências Diretas - PDDE</t>
  </si>
  <si>
    <t xml:space="preserve">     5.4  Transferências Diretas PNATE  </t>
  </si>
  <si>
    <t xml:space="preserve">     5.5 Outras Transferências do FNDE</t>
  </si>
  <si>
    <t xml:space="preserve">     5.6 Aplicação Financeira dos Recursos do FNDE</t>
  </si>
  <si>
    <t>%               f=(e/d)x100</t>
  </si>
  <si>
    <t>DOTAÇÃO           INICIAL</t>
  </si>
  <si>
    <t>Até o Bimestre          (g)</t>
  </si>
  <si>
    <t>%                                 h=(g/d)x100</t>
  </si>
  <si>
    <t>c = (b/a)x100</t>
  </si>
  <si>
    <t>INDICADORES DO FUNDEB</t>
  </si>
  <si>
    <t>19 - TOTAL DAS DESPESAS DO FUNDEB PARA FINS DE LIMITE (15-18)</t>
  </si>
  <si>
    <t>MDE - DESPESAS CUSTEADAS COM A RECEITA RESULTANTE DE IMPOSTOS E RECURSOS DO FUNDEB</t>
  </si>
  <si>
    <t>(h) = (g/d)x100</t>
  </si>
  <si>
    <t>CANCELADO EM 2015 (j)</t>
  </si>
  <si>
    <t>INSCRITAS EM RPNP                (i)</t>
  </si>
  <si>
    <t>RESTOS A PAGAR CANCELADOS OU PRESCRITOS</t>
  </si>
  <si>
    <t>DESPESAS COM MANUTENÇÃO E DESENVOLVIMENTO DO ENSINO</t>
  </si>
  <si>
    <t xml:space="preserve">     5.3  Transferências Diretas PNAE</t>
  </si>
  <si>
    <t>INSCRITAS EM RPNP                              (i)</t>
  </si>
  <si>
    <t>INSCRITAS EM RPNP                             (i)</t>
  </si>
  <si>
    <t xml:space="preserve">DEDUÇÕES PARA FINS DO LIMITE DO FUNDEB </t>
  </si>
  <si>
    <t>Até o bimestre (b)</t>
  </si>
  <si>
    <t xml:space="preserve"> (f) </t>
  </si>
  <si>
    <t xml:space="preserve"> (g)=(e-f) </t>
  </si>
  <si>
    <t xml:space="preserve"> DESPESAS LIQUIDADAS</t>
  </si>
  <si>
    <t>(i)=(e-h)</t>
  </si>
  <si>
    <t>DESPESAS PAGAS ATÉ O BIMESTRE</t>
  </si>
  <si>
    <t>(j)</t>
  </si>
  <si>
    <t xml:space="preserve"> (k) </t>
  </si>
  <si>
    <t xml:space="preserve"> Até o Bimestre </t>
  </si>
  <si>
    <t>SALDO                       (c) = (a-b)</t>
  </si>
  <si>
    <t>(e) = (a-d)</t>
  </si>
  <si>
    <t>(f)</t>
  </si>
  <si>
    <t xml:space="preserve">   Despesas Pagas</t>
  </si>
  <si>
    <t>Até o bimestre  (b)</t>
  </si>
  <si>
    <t>Até o Bimestre (b)</t>
  </si>
  <si>
    <t xml:space="preserve"> PREVISÃO ATUALIZADA  
(a)</t>
  </si>
  <si>
    <t xml:space="preserve"> SALDO A 
REALIZAR 
(a - c) </t>
  </si>
  <si>
    <t xml:space="preserve"> No Bimestre 
(b)</t>
  </si>
  <si>
    <t xml:space="preserve"> % 
(b / a)</t>
  </si>
  <si>
    <t xml:space="preserve"> Até o Bimestre 
( c )</t>
  </si>
  <si>
    <t xml:space="preserve"> % 
(c / a )</t>
  </si>
  <si>
    <t xml:space="preserve">RREO - ANEXO 1  (LRF - Art. 52, inciso I, alíneas "a" e "b" do inciso II e §1º)  </t>
  </si>
  <si>
    <t xml:space="preserve">DEMONSTRATIVO DA EXECUÇÃO DAS DESPESAS POR FUNÇÃO E SUBFUNÇÃO </t>
  </si>
  <si>
    <t>TOTAL  (ÚLTIMOS 12 MESES)</t>
  </si>
  <si>
    <t>Até o Bimestre         (e)</t>
  </si>
  <si>
    <t xml:space="preserve">            PREFEITURA MUNICIPAL DE SÃO LUÍS </t>
  </si>
  <si>
    <t xml:space="preserve">            RELATÓRIO RESUMIDO DA EXECUÇÃO ORÇAMENTÁRIA</t>
  </si>
  <si>
    <t xml:space="preserve">            ORÇAMENTOS FISCAL E DA SEGURIDADE SOCIAL</t>
  </si>
  <si>
    <t xml:space="preserve">       PREFEITURA MUNICIPAL DE SÃO LUÍS (MA)</t>
  </si>
  <si>
    <t xml:space="preserve">       RELATÓRIO RESUMIDO DA EXECUÇÃO ORÇAMENTÁRIA</t>
  </si>
  <si>
    <t xml:space="preserve">       ORÇAMENTO DA SEGURIDADE SOCIAL</t>
  </si>
  <si>
    <t xml:space="preserve">              PREFEITURA MUNICIPAL DE SÃO LUÍS</t>
  </si>
  <si>
    <t xml:space="preserve">              RELATÓRIO RESUMIDO DA EXECUÇÃO ORÇAMENTÁRIA</t>
  </si>
  <si>
    <t>2.4 Cota-Parte IPI-Exportação LC 61/1989</t>
  </si>
  <si>
    <t xml:space="preserve">       DEMONSTRATIVO DAS RECEITAS E DESPESAS PREVIDENCIÁRIAS DO RPPS - PLANO PREVIDENCIÁRIO</t>
  </si>
  <si>
    <t xml:space="preserve"> </t>
  </si>
  <si>
    <t>(b/tot.b)</t>
  </si>
  <si>
    <t xml:space="preserve"> RREO - ANEXO 4 (LRF - Art. 53, inciso II)</t>
  </si>
  <si>
    <t xml:space="preserve">  Demais Haveres Financeiros</t>
  </si>
  <si>
    <t>RECEITAS PRIMÁRIAS</t>
  </si>
  <si>
    <t>Em Exercícios Anteriores           (a)</t>
  </si>
  <si>
    <t>Pagos                         (c)</t>
  </si>
  <si>
    <t>Cancelados                (d)</t>
  </si>
  <si>
    <t>Em Exercícios Anteriores         (f)</t>
  </si>
  <si>
    <t>Liquidados        (h)</t>
  </si>
  <si>
    <t>Pagos                  (i)</t>
  </si>
  <si>
    <t>Cancelados        (j)</t>
  </si>
  <si>
    <t xml:space="preserve">    1.1.2 - Multa, Juros de Mora, Dívida Ativa  e Outros Encargos do IPTU</t>
  </si>
  <si>
    <t>RECEITA RESULTANTE DE IMPOSTOS (caput do art. 212 da CF)</t>
  </si>
  <si>
    <t>1.RECEITA DE IMPOSTOS</t>
  </si>
  <si>
    <t xml:space="preserve">    1.2.2 - Multa, Juros de Mora, Dívida Ativa  e Outros Encargos do ITBI</t>
  </si>
  <si>
    <t xml:space="preserve">    1.3.2 - Multa, Juros de Mora, Dívida Ativa  e Outros Encargos do ISS</t>
  </si>
  <si>
    <t xml:space="preserve">    1.5.2 - Multa, Juros de Mora, Dívida Ativa  e Outros Encargos do ITR</t>
  </si>
  <si>
    <t>2. RECEITAS DE TRANSFERÊNCIAS CONSTITUCIONAIS E LEGAIS</t>
  </si>
  <si>
    <t xml:space="preserve">    2.1.3 - Parcela referente à CF - art. 159, I, alínea e</t>
  </si>
  <si>
    <t xml:space="preserve">    4. RECEITA DA APLICAÇÃO FINANCEIRA DE OUTROS RECURSOS DE IMPOSTOS VINCULADOS AO ENSINO</t>
  </si>
  <si>
    <t xml:space="preserve">  5. RECEITA DE TRANSFERÊNCIAS DO FNDE</t>
  </si>
  <si>
    <t xml:space="preserve">  6. RECEITA DE TRANSFERÊNCIAS DE CONVÊNIOS</t>
  </si>
  <si>
    <t xml:space="preserve">  7. RECEITA DE OPERAÇÕES DE CRÉDITO</t>
  </si>
  <si>
    <t xml:space="preserve">  8. OUTRAS RECEITAS PARA FINANCIAMENTO DO ENSINO</t>
  </si>
  <si>
    <t>10. RECEITAS DESTINADAS AO FUNDEB</t>
  </si>
  <si>
    <t>11. RECEITAS RECEBIDAS DO FUNDEB</t>
  </si>
  <si>
    <t>22- EDUCAÇÃO INFANTIL</t>
  </si>
  <si>
    <t xml:space="preserve">  22.1 - Creche</t>
  </si>
  <si>
    <t xml:space="preserve">    22.1.1 - Despesas Custeadas com Recursos do FUNDEB </t>
  </si>
  <si>
    <t xml:space="preserve">    22.1.2 - Despesas Custeadas com Outros Recursos de Impostos</t>
  </si>
  <si>
    <t xml:space="preserve">  22.2 - Pré-Escola</t>
  </si>
  <si>
    <t xml:space="preserve">    22.2.1 - Despesas Custeadas com Recursos do FUNDEB </t>
  </si>
  <si>
    <t xml:space="preserve">    22.2.2 - Despesas Custeadas com Outros Recursos de Impostos</t>
  </si>
  <si>
    <t xml:space="preserve">23- ENSINO FUNDAMENTAL </t>
  </si>
  <si>
    <t xml:space="preserve">    23.1- Despesas Custeadas com Recursos do FUNDEB </t>
  </si>
  <si>
    <t xml:space="preserve">    23.2- Despesas Custeadas com Outros Recursos de Impostos</t>
  </si>
  <si>
    <t xml:space="preserve">24- ENSINO MÉDIO </t>
  </si>
  <si>
    <t>25- ENSINO SUPERIOR</t>
  </si>
  <si>
    <t>26- ENSINO PROFISSIONAL NÃO INTEGRADO AO ENSINO REGULAR</t>
  </si>
  <si>
    <t>27- OUTRAS</t>
  </si>
  <si>
    <t>28- TOTAL DAS DESPESAS PARA FINS DE LIMITE (soma de 22 a 27)</t>
  </si>
  <si>
    <t>29- RESULTADO LÍQUIDO DAS TRANSFERÊNCIAS DO FUNDEB = (12)</t>
  </si>
  <si>
    <t>30- DESPESAS CUSTEADAS COM A COMPLEMENTAÇÃO DO FUNDEB NO EXERCÍCIO</t>
  </si>
  <si>
    <t>CONTROLE DA DISPONIBILIDADE FINANCEIRA</t>
  </si>
  <si>
    <t>FUNDEB</t>
  </si>
  <si>
    <t>SALÁRIO EDUCAÇÃO</t>
  </si>
  <si>
    <t>IMPACTOS DAS CONTRATAÇÕES DE PPP</t>
  </si>
  <si>
    <t>SALDO TOTAL EM 31 DE DEZEMBRO DO EXERCÍCIO ANTERIOR</t>
  </si>
  <si>
    <t xml:space="preserve">TOTAL DE PASSIVOS </t>
  </si>
  <si>
    <t xml:space="preserve">    Obrigações  decorrentes de Ativos Constituídos pela SPE</t>
  </si>
  <si>
    <t xml:space="preserve">    Outros Passivos</t>
  </si>
  <si>
    <t xml:space="preserve">ATOS POTENCIAIS PASSIVOS </t>
  </si>
  <si>
    <t xml:space="preserve">ERXERCÍCIO CORRENTE </t>
  </si>
  <si>
    <t>RESTOS A PAGAR POR PODER E MINISTÉRIO PÚBLICO</t>
  </si>
  <si>
    <t>Receita de Contribuições dos Segurados</t>
  </si>
  <si>
    <t>Civil</t>
  </si>
  <si>
    <t>Militar</t>
  </si>
  <si>
    <t xml:space="preserve">Ativo </t>
  </si>
  <si>
    <t xml:space="preserve">Inativo </t>
  </si>
  <si>
    <t xml:space="preserve">Pensionista </t>
  </si>
  <si>
    <t>Receita de Contribuições Patronais</t>
  </si>
  <si>
    <t xml:space="preserve">    Demais Receitas Correntes   </t>
  </si>
  <si>
    <t>Compensação Previdenciária do RGPS para RPPS</t>
  </si>
  <si>
    <t>DESPESAS PREVIDENCIÁRIAS</t>
  </si>
  <si>
    <t>Benefícios - Civil</t>
  </si>
  <si>
    <t>Benefícios - Militar</t>
  </si>
  <si>
    <t xml:space="preserve">   Outras Despesas Previdenciárias</t>
  </si>
  <si>
    <t xml:space="preserve">   Comp. Previdenciária do RPPS para o RGPS</t>
  </si>
  <si>
    <t xml:space="preserve">      Demais Despesas Previdenciárias</t>
  </si>
  <si>
    <t>Plano de Amortização - Contrib. Patronal Suplementar</t>
  </si>
  <si>
    <t>Outros Aportes para o RPPS</t>
  </si>
  <si>
    <t>Recursos para Cobertura de Déficit Financeiro</t>
  </si>
  <si>
    <t>Caixa e Equivalente de Caixa</t>
  </si>
  <si>
    <t>Investimentos e Aplicações</t>
  </si>
  <si>
    <t>Outros Bens e Direitos</t>
  </si>
  <si>
    <t>PLANO PREVIDENCIÁRIO</t>
  </si>
  <si>
    <t>PLANO FINANCEIRO</t>
  </si>
  <si>
    <t>APORTE DE RECURSOS PARA O PLANO FINANCEIRO DO RPPS</t>
  </si>
  <si>
    <t>Recursos para Cobertura de Insuficiências Financeiras</t>
  </si>
  <si>
    <t xml:space="preserve"> SALDO  
(a - c) </t>
  </si>
  <si>
    <t>CONTRIBUICOES</t>
  </si>
  <si>
    <t>Demais Receitas Patrimoniais</t>
  </si>
  <si>
    <t xml:space="preserve">   Demais Receitas Correntes   </t>
  </si>
  <si>
    <t>Aportes Periód. Amortiz. Déb. Atuarial RPPS (II)</t>
  </si>
  <si>
    <t>RECEITAS DE CAPITAL (III)</t>
  </si>
  <si>
    <t>TOTAL REC. PREVIDENCIÁRIAS RPPS (IV) = (I+III-II)</t>
  </si>
  <si>
    <t>DESPESAS PREVIDENCIÁRIAS - RPPS</t>
  </si>
  <si>
    <t xml:space="preserve">APORTES DE RECURSOS PARA O PLANO PREVIDENCIÁRIO DO RPPS
</t>
  </si>
  <si>
    <t>Recursos para Formação de Reserva</t>
  </si>
  <si>
    <t xml:space="preserve">   IPTU</t>
  </si>
  <si>
    <t xml:space="preserve">   ISS</t>
  </si>
  <si>
    <t xml:space="preserve">   ITBI</t>
  </si>
  <si>
    <t xml:space="preserve">   IRRF</t>
  </si>
  <si>
    <t xml:space="preserve">   Outros Impostos, Taxas e Cont. de Melhorias</t>
  </si>
  <si>
    <t>RECEITAS REALIZADAS  (a)</t>
  </si>
  <si>
    <t>ACIMA DA LINHA</t>
  </si>
  <si>
    <t xml:space="preserve">Receita Patrimonial </t>
  </si>
  <si>
    <t>Aplicações Financeiras (II)</t>
  </si>
  <si>
    <t xml:space="preserve">    Outras Receitas Patrimoniais</t>
  </si>
  <si>
    <t xml:space="preserve">    Cota-Parte do ICMS </t>
  </si>
  <si>
    <t xml:space="preserve">   Transferências da LC 87/1996</t>
  </si>
  <si>
    <t xml:space="preserve">   Transferências da LC 61/1989</t>
  </si>
  <si>
    <t xml:space="preserve">   Transferências do FUNDEB</t>
  </si>
  <si>
    <t xml:space="preserve">    Outras Transferências Correntes</t>
  </si>
  <si>
    <t>Outras Receitas Financeiras (III)</t>
  </si>
  <si>
    <t>Receitas Correntes Restantes</t>
  </si>
  <si>
    <t>RECEITAS PRIMÁRIAS CORRENTES (IV)=(I-II-III)</t>
  </si>
  <si>
    <t>RECEITAS DE CAPITAL (V)</t>
  </si>
  <si>
    <t>Operações de Crédito (VI)</t>
  </si>
  <si>
    <t>Amortização de Empréstimos (VII)</t>
  </si>
  <si>
    <t xml:space="preserve">Alienação de Bens </t>
  </si>
  <si>
    <t xml:space="preserve">    Receitas de Alienação Investimentos Temporários (VIII) </t>
  </si>
  <si>
    <t xml:space="preserve">    Receitas de Alienação Investim. Permanentess (IX) </t>
  </si>
  <si>
    <t xml:space="preserve">    Outras Alienações de Bens</t>
  </si>
  <si>
    <t xml:space="preserve">    Outras Receitas de Capital Primárias </t>
  </si>
  <si>
    <t xml:space="preserve">    Outras Receitas de Capital não Primárias (X)</t>
  </si>
  <si>
    <t>Juros e Encargos da Dívida (XIV)</t>
  </si>
  <si>
    <t xml:space="preserve">   Demais Despesas Correntes </t>
  </si>
  <si>
    <t>DESPESAS DE CAPITAL (XVI)</t>
  </si>
  <si>
    <t>Concessão de Empréstimos e Financiamentos (XVII)</t>
  </si>
  <si>
    <t>Aquisição de Título de Capital já Integralizado (XVIII)</t>
  </si>
  <si>
    <t>Aquisição de Título de Crédito (XIX)</t>
  </si>
  <si>
    <t>Amortização da Dívida (XX)</t>
  </si>
  <si>
    <t>META FISCAL PARA O RESULTADO PRIMÁRIO</t>
  </si>
  <si>
    <t>Meta fixada no Anexo de Metas Fiscais da LDO para o exercício de referência</t>
  </si>
  <si>
    <t>JUROS NOMINAIS</t>
  </si>
  <si>
    <t xml:space="preserve">VALOR INCORRIDO </t>
  </si>
  <si>
    <t>META FISCAL PARA O RESULTADO NOMINAL</t>
  </si>
  <si>
    <t>ABAIXO DA LINHA</t>
  </si>
  <si>
    <t>CÁLCULO DO RESULTADO NOMINAL</t>
  </si>
  <si>
    <t>Até o Bimestre  (b)</t>
  </si>
  <si>
    <t>DÍVIDA CONSOLIDADA  (XXVIII)</t>
  </si>
  <si>
    <t>DEDUÇÕES  (XXIX)</t>
  </si>
  <si>
    <t xml:space="preserve">           Disponibilidade de Caixa Bruta</t>
  </si>
  <si>
    <t>INFORMAÇÕES ADICIONAIS</t>
  </si>
  <si>
    <t>PREVISÃO ORÇAMENTÁRIA</t>
  </si>
  <si>
    <t>SALDO DE EXERCÍCIOS ANTERIORES</t>
  </si>
  <si>
    <t>Contribuições</t>
  </si>
  <si>
    <t xml:space="preserve">2.3 ICMS-Desoneração - L.C. nº 87/1996 </t>
  </si>
  <si>
    <t xml:space="preserve">             DEMONSTRATIVO DOS RESULTADOS PRIMÁRIO E NOMINAL</t>
  </si>
  <si>
    <t>RECEITAS E DESP. REGIME PRÓPRIO DE PREVID. DOS SERVIDORES</t>
  </si>
  <si>
    <t>Regime Próprio Previdência Servidores - PLANO PREVIDENCIÁRIO</t>
  </si>
  <si>
    <t xml:space="preserve">   Receitas Previdenciárias Realizadas </t>
  </si>
  <si>
    <t xml:space="preserve">   Despesas Previdenciárias Liquidadas </t>
  </si>
  <si>
    <t xml:space="preserve">   Resultado Previdenciário </t>
  </si>
  <si>
    <t>Regime Próprio de Previdência dos Servidores - PLANO FINANCEIRO</t>
  </si>
  <si>
    <t xml:space="preserve">   Poder Judiciário</t>
  </si>
  <si>
    <t xml:space="preserve">   Ministério Público</t>
  </si>
  <si>
    <t xml:space="preserve">   Defensoria Pública</t>
  </si>
  <si>
    <t>Plano Previdenciário</t>
  </si>
  <si>
    <t xml:space="preserve">    Receitas Previdenciárias </t>
  </si>
  <si>
    <t xml:space="preserve">    Despesas Previdenciárias </t>
  </si>
  <si>
    <t xml:space="preserve">    Resultado Previdenciário </t>
  </si>
  <si>
    <t xml:space="preserve">            BALANÇO ORÇAMENTÁRIO</t>
  </si>
  <si>
    <t>AJUSTE METODOLÓGICO</t>
  </si>
  <si>
    <t>Plano Financeiro</t>
  </si>
  <si>
    <t>IMPOSTOS TAXAS E CONT. MELHORIAS</t>
  </si>
  <si>
    <t>Impostos Taxas e Contrib. Melhoria</t>
  </si>
  <si>
    <t xml:space="preserve">    Rendimentos de Aplic. Financeira</t>
  </si>
  <si>
    <t xml:space="preserve">    Outras Receitas Patrimoniais </t>
  </si>
  <si>
    <t xml:space="preserve">   Cota-Parte do FPM</t>
  </si>
  <si>
    <t xml:space="preserve">   Cota-Parte do ICMS</t>
  </si>
  <si>
    <t xml:space="preserve">   Cota-Parte do IPVA</t>
  </si>
  <si>
    <t xml:space="preserve">   Cota-Parte do ITR</t>
  </si>
  <si>
    <t xml:space="preserve">   Transferências LC 87/1996</t>
  </si>
  <si>
    <t xml:space="preserve">   Transferências LC 61/1989</t>
  </si>
  <si>
    <t xml:space="preserve">   Tranferências do FUNDEB</t>
  </si>
  <si>
    <t xml:space="preserve">   Outras Transferências Correntes</t>
  </si>
  <si>
    <t xml:space="preserve">    IPTU</t>
  </si>
  <si>
    <t xml:space="preserve">    ISS</t>
  </si>
  <si>
    <t xml:space="preserve">    ITBI</t>
  </si>
  <si>
    <t xml:space="preserve">    IRPF</t>
  </si>
  <si>
    <t xml:space="preserve">    Outros Imp. Taxas e Cont.Melhoria</t>
  </si>
  <si>
    <t xml:space="preserve">   Contrib. Servidor Plano Previdência</t>
  </si>
  <si>
    <t xml:space="preserve">   Comp. Fin. entre Regimes Previdência</t>
  </si>
  <si>
    <t xml:space="preserve">   Ded. Receita Formação do FUNDEB</t>
  </si>
  <si>
    <t>Impostos, Taxas e Contribuições de Melhoria</t>
  </si>
  <si>
    <t>RECEITA PRIMÁRIA TOTAL (XII) = (IV+XI)</t>
  </si>
  <si>
    <t>DESPESAS CORRENTES (XIII)</t>
  </si>
  <si>
    <t>RESERVA DE CONTINGÊNCIA (XXII)</t>
  </si>
  <si>
    <t>DESPESAS PAGAS            (a)</t>
  </si>
  <si>
    <t>RP´s PROCESSADOS PAGOS                        (b)</t>
  </si>
  <si>
    <t>LIQUIDADOS</t>
  </si>
  <si>
    <t>RP´s NÃO PROCESSADOS</t>
  </si>
  <si>
    <t xml:space="preserve">   Disponibilidade de Caixa</t>
  </si>
  <si>
    <t xml:space="preserve">  Recursos Arrecadados em Exercícios Anteriores - RPPS</t>
  </si>
  <si>
    <t xml:space="preserve">  Superavit Fin. Utiliz. Abertura e Reabertura Créd. Adicionais </t>
  </si>
  <si>
    <t>13.1 Com Educação Infantil</t>
  </si>
  <si>
    <t>13.2 Com Ensino Fundamental</t>
  </si>
  <si>
    <t>14.1 Com Educação Infantil</t>
  </si>
  <si>
    <t>14.2 Com Ensino Fundamental</t>
  </si>
  <si>
    <t xml:space="preserve">   16.1 - FUNDEB 60%</t>
  </si>
  <si>
    <t xml:space="preserve">   16.2 - FUNDEB 40%</t>
  </si>
  <si>
    <t xml:space="preserve">   17.1 - FUNDEB 60%</t>
  </si>
  <si>
    <t xml:space="preserve">   17.2 - FUNDEB 40%</t>
  </si>
  <si>
    <t xml:space="preserve">    19.1 - MÍNIMO DE 60% DO FUNDEB NA REMUNERAÇÃO DO MAGISTÉRIO  (13 – (16.1+17.1)) / (11) x 100)% </t>
  </si>
  <si>
    <t xml:space="preserve">   19.2 - MÁXIMO DE 40% EM DESPESAS COM MDE, QUE NÃO REMUNERAÇÃO DO MAGISTÉRIO (14-(16.2+17.2))/(11)x(100)%</t>
  </si>
  <si>
    <t xml:space="preserve">   19.3 - MÁXIMO DE 5% NÃO APLICADO NO EXERCÍCIO (100-(19.1+19.2))%</t>
  </si>
  <si>
    <t>DESPESAS COM AÇÕES TÍPICAS DE MDE</t>
  </si>
  <si>
    <t>DEDUÇÕES CONSIDERADAS PARA FINS DE LIMITE CONSTITUCIONAL</t>
  </si>
  <si>
    <t>OUTRAS DESPESAS CUSTEADAS COM RECEITAS ADICIONAIS PARA FINANCIAMENTO DO ENSINO</t>
  </si>
  <si>
    <t xml:space="preserve">    Ativos constituídos pela SPE</t>
  </si>
  <si>
    <t xml:space="preserve">    Obrigações contratuais</t>
  </si>
  <si>
    <t xml:space="preserve">    Riscos não Provisionados</t>
  </si>
  <si>
    <t xml:space="preserve">    Outros Passivos Contingentes</t>
  </si>
  <si>
    <t xml:space="preserve">    Garantias concedidas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</si>
  <si>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</si>
  <si>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</si>
  <si>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% Mínimo a  Aplicar no Exercício</t>
  </si>
  <si>
    <t xml:space="preserve">    Previdência Básica</t>
  </si>
  <si>
    <t xml:space="preserve">  Cooperação Internacional</t>
  </si>
  <si>
    <t xml:space="preserve">  Atenção Básica</t>
  </si>
  <si>
    <t xml:space="preserve">   Educação Básica</t>
  </si>
  <si>
    <t xml:space="preserve">   Ordenamento Territorial</t>
  </si>
  <si>
    <t xml:space="preserve">   Serviços Administrativos e Comerciais</t>
  </si>
  <si>
    <t>Atividades Ref. Navegação e Transporte</t>
  </si>
  <si>
    <t>Operações de Crédito - Mercado Interno</t>
  </si>
  <si>
    <t>Operações de Crédito - Mercado Externo</t>
  </si>
  <si>
    <t>Alienação de Bens Intangíveis</t>
  </si>
  <si>
    <t>Exploração Patrim. Imobiliário do Estado</t>
  </si>
  <si>
    <t>Valores Mobiliários</t>
  </si>
  <si>
    <t>Transferências União e suas Entidades</t>
  </si>
  <si>
    <t>Transferências de Outras Instit. Públicas</t>
  </si>
  <si>
    <t>Transf. Convênios Instituições Privadas</t>
  </si>
  <si>
    <t>Transf.dos Estados, DF e suas Entidades</t>
  </si>
  <si>
    <t>Multas Administ., Contratuais e Judiciais</t>
  </si>
  <si>
    <t xml:space="preserve">Demais Receitas Correntes </t>
  </si>
  <si>
    <t>Transfer. Estados, DF e suas Entidades</t>
  </si>
  <si>
    <t xml:space="preserve"> OPER. CRÉDITO / REFINANCIAMENTO (IV)</t>
  </si>
  <si>
    <t xml:space="preserve">   Transferências Constitucionais e Legais</t>
  </si>
  <si>
    <r>
      <t xml:space="preserve">          (-) Restos a Pagar Processados </t>
    </r>
    <r>
      <rPr>
        <b/>
        <sz val="11"/>
        <rFont val="Arial"/>
        <family val="2"/>
      </rPr>
      <t>(XXX)</t>
    </r>
  </si>
  <si>
    <r>
      <t>RECEITA DE ALIENAÇÃO DE INVEST. PERMANENTES</t>
    </r>
    <r>
      <rPr>
        <b/>
        <sz val="11"/>
        <rFont val="Arial"/>
        <family val="2"/>
      </rPr>
      <t xml:space="preserve"> (IX)</t>
    </r>
  </si>
  <si>
    <r>
      <t>PASSIVOS RECONHECIDOS NA DC</t>
    </r>
    <r>
      <rPr>
        <b/>
        <sz val="11"/>
        <rFont val="Arial"/>
        <family val="2"/>
      </rPr>
      <t xml:space="preserve"> (XXXIV)</t>
    </r>
  </si>
  <si>
    <t>RESULTADO NOMINAL        -        Abaixo da Linha                                  (XXXII) =(XXXIa-XXXIb)</t>
  </si>
  <si>
    <r>
      <t>VARIAÇÃO SALDO RPP</t>
    </r>
    <r>
      <rPr>
        <b/>
        <sz val="11"/>
        <rFont val="Arial"/>
        <family val="2"/>
      </rPr>
      <t xml:space="preserve"> (XXXIII) = (XXXa-XXXb)</t>
    </r>
  </si>
  <si>
    <t>VARIAÇÃO CAMBIAL (XXXV)</t>
  </si>
  <si>
    <t>PAGAM. DE PRECATÓRIOS INTEGRANTES DA DC (XXXVI)</t>
  </si>
  <si>
    <t>20 – RECURSOS RECEBIDOS DO FUNDEB EM 2018 QUE NÃO FORAM UTILIZADOS</t>
  </si>
  <si>
    <t>31- DESPESAS CUSTEADAS COM O SUPERÁVIT FINANCEIRO DO EXERCÍCIO ANTERIOR, DO FUNDEB</t>
  </si>
  <si>
    <t>32- DESPESAS CUSTEADAS COM O SUPERÁVIT FINANCEIRO DO EXERCÍCIO ANTERIOR, DE OUTROS RECURSOS DE IMPOSTOS</t>
  </si>
  <si>
    <t xml:space="preserve">33- RESTOS A PAGAR INSCRITOS NO EXERCÍCIO SEM DISPONBIILIDADE FINANCEIRA DE REC. DE IMPOSTOS VINCULADOS AO ENSINO </t>
  </si>
  <si>
    <t>34- CANCELAMENTOS, NO EXERCÍCIO, DE RESTOS A PAGAR INSCRITOS COM DISPONBIILIDADE FINANCEIRO DE REC. DE IMPOSTOS VINCULADOS AO ENSINO =(44 j)</t>
  </si>
  <si>
    <t>35- TOTAL DAS DEDUÇÕES CONSIDERADAS PARA FINS DE LIMITE CONSTITUCIONAL(29+30+31+32+33+34)</t>
  </si>
  <si>
    <t>36- TOTAL DAS DESPESAS PARA FINS DE LIMITE ((22+23)-(35)</t>
  </si>
  <si>
    <t>37- PERCENTUAL DE APLICAÇÃO EM MDE SOBRE A RECEITA LÍQUIDA DE IMPOSTOSS [(36)/3*100)] - LIMITE CONSTIT. 25%</t>
  </si>
  <si>
    <t>38- DESPESAS CUSTEADAS COM APLICAÇÃO FINANCEIRA DE OUTROS RECURSOS DE IMPOSTOS VINCULADOS AO ENSINO</t>
  </si>
  <si>
    <t xml:space="preserve">39- DESPESAS CUSTEADAS CONT. SOCIAL DO SALÁRIO-EDUCAÇÃO </t>
  </si>
  <si>
    <t xml:space="preserve">40 - DESPESAS CUSTEADAS COM OPERAÇÕES DE CRÉDITO </t>
  </si>
  <si>
    <t xml:space="preserve">41- DESPESAS CUSTEADAS COM OUTRAS RECEITAS PARA FINANCIAMENTO DO ENSINO </t>
  </si>
  <si>
    <t>44- RESTOS A PAGAR DE DESPESAS COM MANUTENÇÃO E DESENVOLVIMENTO DO ENSINO</t>
  </si>
  <si>
    <t xml:space="preserve">   44.1 - Executadas com Recursos de Impostos Vinculados ao Ensino</t>
  </si>
  <si>
    <t xml:space="preserve">   44.2 - Executados com Recursos do FUNDEB</t>
  </si>
  <si>
    <t>46- (+) INGRESSO DE  RECURSOS ATÉ O BIMESTRE</t>
  </si>
  <si>
    <t>47- (-) PAGAMENTOS EFETUADOS ATÉ O BIMESTRE</t>
  </si>
  <si>
    <t xml:space="preserve">      47.1 - Orçamento do Exercício</t>
  </si>
  <si>
    <t xml:space="preserve">      47.2 -  Restos a Pagar</t>
  </si>
  <si>
    <t>48- (+) RECEITA DE APLICAÇÃO FINANCEIRA DOS RECURSOS DO FUNDEB ATÉ O BIMESTRE</t>
  </si>
  <si>
    <t>49- (=) DISPONIBILIDADE FINANCEIRA ATÉ O BIMESTRE</t>
  </si>
  <si>
    <t>50-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</si>
  <si>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</si>
  <si>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</si>
  <si>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</si>
  <si>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</si>
  <si>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</si>
  <si>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 xml:space="preserve">RESULTADOS PRIMÁRIO E NOMINAL </t>
  </si>
  <si>
    <t>Resultado Primário - Acima da Linha</t>
  </si>
  <si>
    <t>Resultado Nominal - Acima da Linha</t>
  </si>
  <si>
    <t>10.3 ICMS-Desoneração Destinada ao FUNDEB - (20% de 2.3)</t>
  </si>
  <si>
    <t>10.4 Cota-Parte IPI-Exportação Destinada ao FUNDEB - (20% de 2.4)</t>
  </si>
  <si>
    <t>10.5 Cota-Parte ITR Destinados ao FUNDEB - (20% de 2.5)</t>
  </si>
  <si>
    <t>10.6 Cota-Parte IPVA Destinada ao FUNDEB - (20% de 2.6)</t>
  </si>
  <si>
    <t xml:space="preserve">    12. RESULTADO LÍQUIDO DAS TRANSFERENCIAS FUNDEB (11.1 - 10)</t>
  </si>
  <si>
    <t xml:space="preserve">    9. TOTAL RECEITAS ADICIONAIS PARA FIN. ENSINO (4+5+6+7+8)</t>
  </si>
  <si>
    <t>42- TOTAL DAS DESPESAS CUSTEADAS COM RECEITAS ADICIONAIS PARA FINANCIAMENTO DO ENSINO (38+39+40+41)</t>
  </si>
  <si>
    <t>43- TOTAL GERAL DAS DESPESAS COM EDUCAÇÃO (28+42)</t>
  </si>
  <si>
    <t xml:space="preserve">   Proteção e Benefícios ao Trabalhador</t>
  </si>
  <si>
    <t xml:space="preserve">  Transportes Coletivos Urbanos</t>
  </si>
  <si>
    <t xml:space="preserve">  Difusão Conhec.Cient. Tecnológico</t>
  </si>
  <si>
    <t>Até o Bimestre 2019</t>
  </si>
  <si>
    <t>CÁLCULO ACIMA DA LINHA - DESPESAS PRIMÁRIAS</t>
  </si>
  <si>
    <t xml:space="preserve">          Secretaria Extraordinária Municipal de Orç. Participativo</t>
  </si>
  <si>
    <t xml:space="preserve">           Secretaria Municipal de Cultura de São Luís</t>
  </si>
  <si>
    <t xml:space="preserve">          Fundo de Capacitação e Desenv. Recursos Humanos</t>
  </si>
  <si>
    <t xml:space="preserve">       EMPRESA PÚBLICA DEPENDENTE </t>
  </si>
  <si>
    <t xml:space="preserve">          Companhia de Limpesa e Serviços Urbanos - COLISEU</t>
  </si>
  <si>
    <r>
      <t>JUROS, ENCARGOS E VAR. MONETÁRIAS  ATIVOS</t>
    </r>
    <r>
      <rPr>
        <b/>
        <sz val="11"/>
        <rFont val="Arial"/>
        <family val="2"/>
      </rPr>
      <t xml:space="preserve"> (XXV)</t>
    </r>
  </si>
  <si>
    <r>
      <t>JUROS, ENCARGOS E VAR. MONET. PASSIVOS</t>
    </r>
    <r>
      <rPr>
        <b/>
        <sz val="11"/>
        <rFont val="Arial"/>
        <family val="2"/>
      </rPr>
      <t xml:space="preserve"> (XXVI)</t>
    </r>
  </si>
  <si>
    <t>RESULTADO NOMINAL        -        Acima da Linha                      (XXVII) = XXIV+(XXV-XXVI)</t>
  </si>
  <si>
    <t xml:space="preserve">                                                           </t>
  </si>
  <si>
    <t>DEMONSTRATIVO DAS RECEITAS E DESPESAS COM AÇÕES E SERVIÇOS PÚBLICOS DE SAÚDE</t>
  </si>
  <si>
    <t xml:space="preserve">   Provenientes da União</t>
  </si>
  <si>
    <t xml:space="preserve">   Provenientes dos Estados</t>
  </si>
  <si>
    <t xml:space="preserve">   Provenientes de Outros Municípios</t>
  </si>
  <si>
    <t>Contribuição para Custeio do S.I.Pública</t>
  </si>
  <si>
    <t xml:space="preserve">   Administração de Receitas</t>
  </si>
  <si>
    <t xml:space="preserve">   Assistência Hospitalar e Ambulatorial</t>
  </si>
  <si>
    <t>Janeiro-2020</t>
  </si>
  <si>
    <t>Fevereiro-2020</t>
  </si>
  <si>
    <t>Até o Bimestre 2020</t>
  </si>
  <si>
    <t>Em 31 de Dezembro de 2019 (a)</t>
  </si>
  <si>
    <t>OUTROS AJUSTES (XXXVIII)</t>
  </si>
  <si>
    <t>AJUSTES RELATIVOS AO RPPS (XXXVII)</t>
  </si>
  <si>
    <t>RESULTADO NOMINAL AJUSTADO - Abaixo da Linha (XXXIX)=(XXXII-XXXIII-IX+XXXIV+XXXV-XXXVI+XXXVII+XXXVIII)</t>
  </si>
  <si>
    <t>RESULTADO PRIMÁRIO    -      Abaixo da Linha                   (XL)=(XXXIX-(XXV-XXVI)</t>
  </si>
  <si>
    <t>TOTAL DAS RECEITAS(V) = (III+IV)</t>
  </si>
  <si>
    <t>TOTAL COM DEFCIT (VII) = (V+VI)</t>
  </si>
  <si>
    <t>TOTAL DAS DESPESAS (XII) = (X + XI)</t>
  </si>
  <si>
    <t>TOTAL C/ SUPERÁVIT (XIV) = (XII + XIII)</t>
  </si>
  <si>
    <t>AMORTIZAÇÃO DA DÍV.REFINANCIAMENTO (XI)</t>
  </si>
  <si>
    <t xml:space="preserve">TOTAL DESPESAS PREVIDENCIÁRIA RPPS (V) </t>
  </si>
  <si>
    <t>RESULTADO PREVIDENCIÁRIO (VI) = (IV - V)²</t>
  </si>
  <si>
    <t>RECURSOS RPPS ARREC. EXERCÍCIOS ANTERIORES</t>
  </si>
  <si>
    <t>RECEITAS CORRENTES (VII)</t>
  </si>
  <si>
    <t>RECEITAS DE CAPITAL (VIII)</t>
  </si>
  <si>
    <t>TOTAL REC. PREVIDENC. RPPS (IX) = (VII + VIII)</t>
  </si>
  <si>
    <t>RESULTADO PREVIDENCIÁRIO (XI) = (IX - X)²</t>
  </si>
  <si>
    <t xml:space="preserve">TOTAL DESPESAS PREVIDENCIÁRIAS RPPS (X) </t>
  </si>
  <si>
    <t>RECEITAS DA ADMINISTRAÇÃO - RPPS</t>
  </si>
  <si>
    <t>PREVISÃO ATURALIZADA</t>
  </si>
  <si>
    <t>Receitas Correntes</t>
  </si>
  <si>
    <t>TOTAL REC. ADMINISTRAÇÃO - RPPS (XII)</t>
  </si>
  <si>
    <t>DESPESAS DA ADMINISTRAÇÃO - RPPS</t>
  </si>
  <si>
    <t>DEPESAS EMPENHADAS</t>
  </si>
  <si>
    <t>Até Bimestre 2020</t>
  </si>
  <si>
    <t>Até Bimestre 2019</t>
  </si>
  <si>
    <t>INSCRITAS EM RPNP´S</t>
  </si>
  <si>
    <t>DESPESAS DE CAPITAL (XIV)</t>
  </si>
  <si>
    <t>TOTAL DESP. ADMINISTRAÇÃO RPPS (XV)=(XIII+XIV)</t>
  </si>
  <si>
    <t>21 – DESPESAS CUSTEADAS COM O SALDO DO ITEM 20 ATÉ O 1º TRIMESTRE DE 2020</t>
  </si>
  <si>
    <t xml:space="preserve">    Receita Resultante do Imposto Predial e Territorial Urbano - IPTU</t>
  </si>
  <si>
    <t xml:space="preserve">        IPTU</t>
  </si>
  <si>
    <t xml:space="preserve">        Multas , Juros de Mora , Dívida Ativa e Outros Encargos do IPTU</t>
  </si>
  <si>
    <t xml:space="preserve">   Receita Resultante do Imposto sobre Transmissão de Bens Intervivos - ITBI</t>
  </si>
  <si>
    <t xml:space="preserve">        ITBI</t>
  </si>
  <si>
    <t xml:space="preserve">  Receita Resultante do Imposto sobre Serviços de Qualquer Natureza - ISS</t>
  </si>
  <si>
    <t xml:space="preserve">        Multas , Juros de Mora , Dívida Ativa e Outros Encargos do ITBI</t>
  </si>
  <si>
    <t xml:space="preserve">        Multas , Juros de Mora , Dívida Ativa e Outros Encargos do ISS</t>
  </si>
  <si>
    <t xml:space="preserve">        ISS</t>
  </si>
  <si>
    <t xml:space="preserve">    Cota-Parte IPI-Exportação </t>
  </si>
  <si>
    <t xml:space="preserve">    Desoneração ICMS (LC 87/96)</t>
  </si>
  <si>
    <t xml:space="preserve">    Outras </t>
  </si>
  <si>
    <t>RECEITAS RESULTANTES DE IMPOSTOS E TRANSFERÊNCIAS CONSTITUCIONAIS E LEGAIS</t>
  </si>
  <si>
    <t>RECEITA DE IMPOSTOS (I)</t>
  </si>
  <si>
    <t>TOTAL DAS RECEITAS RESULTANTES DE IMPOSTOS E TRANSFERÊNCIAS CONSTITUCIONAIS E LEGAIS  (III) =(I + II)</t>
  </si>
  <si>
    <t>DESPESAS COM AÇÕES E SERVIÇOS PÚBLICOS DE SAÚDE(ASPS) - POR SUBFUNÇÃO E CATEGORIA ECONÔMICA</t>
  </si>
  <si>
    <t>INSCRITAS EM RPNP (g)</t>
  </si>
  <si>
    <t>%(d/c)x100</t>
  </si>
  <si>
    <t>%(e/c)x100</t>
  </si>
  <si>
    <t>DESPESAS PAGAS</t>
  </si>
  <si>
    <t>%(f/c)x100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</si>
  <si>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</si>
  <si>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</si>
  <si>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</si>
  <si>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</si>
  <si>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</si>
  <si>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 xml:space="preserve">VIGILÂNCIA SANITÁRIA (VII) </t>
  </si>
  <si>
    <t>VIGILÂNCIA EPIDEMIOLÓGICA (VIII)</t>
  </si>
  <si>
    <t>ALIMENTAÇÃO E NUTRIÇÃO (IX)</t>
  </si>
  <si>
    <t>OUTRAS SUBFUNÇÕES (Apoio Administrativo e Manutenção) (X)</t>
  </si>
  <si>
    <t>TOTAL (XI) = (IV+V+VI+VII+VIII+IX+X)</t>
  </si>
  <si>
    <t>APURAÇÃO DO CUMPRIMENTO DO LIMITE MÍNIMO PARA APLICAÇÃO EM ASPS</t>
  </si>
  <si>
    <t xml:space="preserve">DESPESAS LIQUIDADAS           (e) </t>
  </si>
  <si>
    <t xml:space="preserve">DESPESAS EMPENHADAS         (d) </t>
  </si>
  <si>
    <t>Total das Despesas com ASPS (XII) = (XI)</t>
  </si>
  <si>
    <t>= VALOR APLICADO EM ASPS (XVI) = (XII-XIII-XIV-XV)</t>
  </si>
  <si>
    <t>PERCENTUAL DA RECEITA DE IMPOSTOS E TRANSFERÊNCIAS CONSTITUCIONAIS E LEGAIS APLICADOS EM ASPS(XVI / III)*100 (mínimo de 15% conforme LC nº 141/2012 ou % da Lei Orgânica Municipal)</t>
  </si>
  <si>
    <t>Despesa Mínima a ser aplicada em ASPS (XVII) = (III)x15% (LC 141/2012)</t>
  </si>
  <si>
    <t>Despesa Mínima a ser aplicada em ASPS (XVII) = (III)x15% (Lei Orgânica Municipal)</t>
  </si>
  <si>
    <t>CONTROLE DO VALOR REFERENTE AO PERCENTUAL MÍNIMO EM EXERCÍCIOS ANTERIORES PARA FINS DE APLICAÇÃO DOS RECURSOS VINCULADOS CONFORME ARTIGOS 25 E 26 DA LC 141/2012</t>
  </si>
  <si>
    <t>LIMITE NÃO CUMPRIDO</t>
  </si>
  <si>
    <t>Saldo Final (Não Aplicado)                       (k)</t>
  </si>
  <si>
    <t>Desp. Custeadas no Exercício de Referência</t>
  </si>
  <si>
    <t>Empenhadas         (h)</t>
  </si>
  <si>
    <t>Liquidadas            (i)</t>
  </si>
  <si>
    <t>Diferença de Limite não Cumprido  em 2017 (Saldo Inicial igual ao saldo final do demonstrativo do exercício anterior)</t>
  </si>
  <si>
    <t>TOTAL DA DIFERENÇA DE LIMITE NÃO CUMPRIDO EM EXERCÍCIOS ANTERIORES (XX)</t>
  </si>
  <si>
    <t>EXECUÇÃO DE RESTOS A PAGAR</t>
  </si>
  <si>
    <t>EXERCÍCIO DO EMPENHO</t>
  </si>
  <si>
    <t>Valor Mínimo para aplicação em ASPS  (l)</t>
  </si>
  <si>
    <t>Valor aplicado em ASPS no exercício (m)</t>
  </si>
  <si>
    <t>Valor inscrito em RP considerado no limite          (n)</t>
  </si>
  <si>
    <t>Total inscrito em RP no Exercício</t>
  </si>
  <si>
    <t>Total de RP pagos²</t>
  </si>
  <si>
    <t>Total de RP a pagar</t>
  </si>
  <si>
    <t>Total de RP cancelados       (p)</t>
  </si>
  <si>
    <t>Total da compensação de RP cancelados      (q)</t>
  </si>
  <si>
    <t>Empenhos de 2018</t>
  </si>
  <si>
    <t>Empenhos de 2017</t>
  </si>
  <si>
    <t>Empenhos de 2016</t>
  </si>
  <si>
    <t>Empenhos de 2015</t>
  </si>
  <si>
    <t>Empenhos de 2014 e anteriores</t>
  </si>
  <si>
    <t xml:space="preserve">Saldo inicial       (s) </t>
  </si>
  <si>
    <t>Empenhadas (t)</t>
  </si>
  <si>
    <t>Liquidadas           (u)</t>
  </si>
  <si>
    <t>Pagas                   (v)</t>
  </si>
  <si>
    <t>Saldo Final (Não aplicado)                         (x)=(s-t)</t>
  </si>
  <si>
    <t xml:space="preserve"> Restos a pagar cancelados ou prescritos em 2018 a ser compensados (XXII)</t>
  </si>
  <si>
    <t xml:space="preserve"> Restos a pagar cancelados ou prescritos em 2017 a ser compensados (XXIII)</t>
  </si>
  <si>
    <t xml:space="preserve"> Restos a pagar cancelados ou prescritos em exercícios anteriores a ser compensados (XXIV)</t>
  </si>
  <si>
    <t>TOTAL DE RESTOS A PAGAR CANCELADOS OU PRESCRITOS (XXV)</t>
  </si>
  <si>
    <t>RECEITAS ADICIONAIS PARA O FINANCIAMENTO DA SAÚDE NÃO COMPUTADAS NO CÁLCULO DO MÍNIMO</t>
  </si>
  <si>
    <t>RECEITAS DE TRANSFERÊNCIAS PARA A SAÚDE (XXVI)</t>
  </si>
  <si>
    <t>RECEITAS DE OPER. DE CRÉDITO VINCULADAS À SAÚDE (XXVII)</t>
  </si>
  <si>
    <t>OUTRAS RECEITAS  (XXVIII)</t>
  </si>
  <si>
    <t>TOTAL DE RECEITAS ADICIONAIS PARA FINANCIAMENTO DA SAÚDE (XXIX) =(XXVI+XXVII+XXVIII)</t>
  </si>
  <si>
    <t>PREVISÃO ATUALIZADA                     (a)</t>
  </si>
  <si>
    <t>%(b/a)x100</t>
  </si>
  <si>
    <t>Até o Bimestre                                (b)</t>
  </si>
  <si>
    <t>CONTROLE DE RESTOS A PAGAR CANCELADOS OU PRESCRITOS CONSIDERADOS PARA FINS DE APLICAÇÃO DA DISPONIBILIDADE DE CAIXA CONFORME ARTIGO         24 § 1º E 2º DA LC 141/2012</t>
  </si>
  <si>
    <r>
      <t>DES</t>
    </r>
    <r>
      <rPr>
        <b/>
        <sz val="10"/>
        <rFont val="Arial"/>
        <family val="2"/>
      </rPr>
      <t>PESAS COM SAÚDE POR SUBFUNÇÕES E CATEGORIA ECONÔMICA NÃO COMPUTADAS NO CÁLCULO DO MÍNIMO</t>
    </r>
  </si>
  <si>
    <t>DOTAÇÃO ATUALIZADA          ( c )</t>
  </si>
  <si>
    <t xml:space="preserve">Até o Bimestre (d) </t>
  </si>
  <si>
    <t xml:space="preserve">Até o Bimestre       (d) </t>
  </si>
  <si>
    <t xml:space="preserve">Até o Bimestre       (e) </t>
  </si>
  <si>
    <t xml:space="preserve">Até o Bimestre       (f) </t>
  </si>
  <si>
    <t>ATENÇÃO BÁSICA (XXX)</t>
  </si>
  <si>
    <t>ASSISTÊNCIA HOSPITALAR E AMBULATORIAL (XXXI)</t>
  </si>
  <si>
    <t>SUPORTE PROFILÁTICO E TERAPÊUTICO (XXXII)</t>
  </si>
  <si>
    <t>VIGILÂNCIA SANITÁRIA (XXXIII)</t>
  </si>
  <si>
    <t>VIGILÂNCIA EPIDEMIOLÓGICA (XXXIV)</t>
  </si>
  <si>
    <t>ALIMENTAÇÃO E NUTRIÇÃO (XXXV)</t>
  </si>
  <si>
    <t>OUTRAS FUNÇÕES ( Apoio Administrativo e Manutenção ) (XXXVI)</t>
  </si>
  <si>
    <t>TOTAL DAS DESPESAS NÃO COMPUTADAS NO CÁLCULO DO MÍNIMO                                                 (XXXVII) = (XXX+XXXI+XXXII+XXXIII+XXXIV+XXXV+XXXVI)</t>
  </si>
  <si>
    <t>DESPESAS TOTAIS COM SAÚDE EXECUTADAS COM RECURSOS PRÓPRIOS E COM RECURSOS TRANSFERIDOS DE OUTROS ENTES</t>
  </si>
  <si>
    <t>DOTAÇÃO ATUALIZADA        ( c )</t>
  </si>
  <si>
    <t>ATENÇÃO BÁSICA (XXXVIII) = (IV+XXX)</t>
  </si>
  <si>
    <t>ASSISTÊNCIA HOSPITALAR E AMBULATORIAL (XXXIX) = (V+XXXI)</t>
  </si>
  <si>
    <t>SUPORTE PROFILÁTICO E TERAPÊUTICO (XL) = (VI+XXXII)</t>
  </si>
  <si>
    <t>VIGILÂNCIA SANITÁRIA (XLI) = (VII+XXXIII)</t>
  </si>
  <si>
    <t>VIGILÂNCIA EPIDEMIOLÓGICA (XLII) = (VIII+XXXIV)</t>
  </si>
  <si>
    <t>ALIMENTAÇÃO E NUTRIÇÃO (XLIII) = (IX+XXXV)</t>
  </si>
  <si>
    <t>OUTRAS FUNÇÕES (Apoio Administrativo/manutenção) (XLIV) = (X+XXXVI)</t>
  </si>
  <si>
    <t>TOTAL DAS DESPESAS COM SAÚDE (XLV) = (XI+XXXVII)</t>
  </si>
  <si>
    <t>(-) Despesas executadas com recursos transferidos de outros entes</t>
  </si>
  <si>
    <t>DOTAÇÃO ATUALIZADA                    ( c )</t>
  </si>
  <si>
    <t>Saldo Inicial                                     (No Exercício Atual)                                      (g)</t>
  </si>
  <si>
    <t>PREVISÃO ATUALIZADA                    (a)</t>
  </si>
  <si>
    <t>% ( b/a) x 100</t>
  </si>
  <si>
    <t>Até o Bimestre (f)</t>
  </si>
  <si>
    <t>Até o Bimestre        (e)</t>
  </si>
  <si>
    <t>INSCRITAS EM RPNP          (g)</t>
  </si>
  <si>
    <t>DESPESAS PAGAS                                    (f)</t>
  </si>
  <si>
    <t>Pagas                 (j)</t>
  </si>
  <si>
    <t>Valor aplicado além do limite mínimo             (o) = (m-l)</t>
  </si>
  <si>
    <t>DESPESAS COM SAÚDE NÃO COMPUTADAS NO CÁLCULO DO MÍNIMO</t>
  </si>
  <si>
    <t>DO ENTE FEDERADO, EXCETO ESTATAIS NÃO DEPENDENTES (I) = (I.1+I.2)</t>
  </si>
  <si>
    <t>DAS ESTATAIS NÃO DEPENDENTES (II) =(II.1+II.2)</t>
  </si>
  <si>
    <t>Contratadas (I.1)</t>
  </si>
  <si>
    <t>A Contratar (I.2)</t>
  </si>
  <si>
    <t>Contratadas (II.1)</t>
  </si>
  <si>
    <t>A Contratar (II.2)</t>
  </si>
  <si>
    <t>TOTAL DAS DESPESAS DE PPP (III) = (I+II)</t>
  </si>
  <si>
    <t>RECEITA CORRENTE LÍQUIDA (RCL) (IV)</t>
  </si>
  <si>
    <t>TOTAL DAS DESPESAS CONSIDERADAS PARA O LIMITE(1)</t>
  </si>
  <si>
    <t>TOTAL DAS DESPESAS CONSIDERADAS PARA O LIMITE/ RCL (%) (V) = (I/IV)</t>
  </si>
  <si>
    <t>RCL AJUSTADA CÁLCCULO LIMITE ENDIVIDAMENTO (V) = (III-IV)</t>
  </si>
  <si>
    <t>RECEITA COR. LÍQUIDA (III) = (I - II)</t>
  </si>
  <si>
    <t>(-) Transf.União emendas individuais (IV)</t>
  </si>
  <si>
    <t>(-) Transf.União emendas bancada (VI)</t>
  </si>
  <si>
    <t>RCL AJUSTADA CÁLCCULO LIMITE DESPESA PESSOAL (VII) = (V-VI)</t>
  </si>
  <si>
    <t xml:space="preserve">TOTAL DAS DESPESAS EXECUTADAS COM RECURSOS PRÓPRIOS (XLVI) </t>
  </si>
  <si>
    <t xml:space="preserve">    Compensações Financeiras Provenientes de Transferências Constitucionais</t>
  </si>
  <si>
    <t>(-) Despesas Custeadas com Disponibilidade de Caixa Vinculada aos Restos a Pagar Cancelados (XV)</t>
  </si>
  <si>
    <t>(-) Desp. Custeadas com Rec.Vincul. à Parcela do  Perc. Mínimo não aplicada em ASPS em Exercícios Anteriores (XIV)</t>
  </si>
  <si>
    <t>(-) Restos a Pagar Não Processados Inscritos Indevidamente no Eercício sem Disponibilidade Financeira (XIII)</t>
  </si>
  <si>
    <t>Diferença entre o Valor Aplicado e a Despesa Mínima a ser Aplicada (XVIII) = (XVII(d ou e)-XVIII)</t>
  </si>
  <si>
    <r>
      <t>TOTAL DOS VALORES A COMPENSAR ATÉ O FINAL DO EXERCÍCIO SEGUINTE (XXI)  (</t>
    </r>
    <r>
      <rPr>
        <b/>
        <sz val="10"/>
        <color indexed="10"/>
        <rFont val="Arial"/>
        <family val="2"/>
      </rPr>
      <t>Soma dos saldos negativos de cada exercício do empenho</t>
    </r>
    <r>
      <rPr>
        <b/>
        <sz val="10"/>
        <rFont val="Arial"/>
        <family val="2"/>
      </rPr>
      <t>)</t>
    </r>
  </si>
  <si>
    <t>Diferença de Limite não Cumprido  em 2018 (Saldo Inicial = XIXd)</t>
  </si>
  <si>
    <t>45- DISPONIBILIDADE FINANCEIRA EM 31 DE DEZEMBRO DE 2019</t>
  </si>
  <si>
    <t>RESULTADO DA ADMINISTRAÇÃO RPPS (XVI) =(XII - XV)</t>
  </si>
  <si>
    <t>Receita Corrente Líquida Ajustada para Cálculo dos Limites de Endividamento</t>
  </si>
  <si>
    <t>Receita Corrente Líquida Ajustada para Cálculo dos Limites da Despesa com Pessoal</t>
  </si>
  <si>
    <t>REGISTROS EFETUADOS EM 2020</t>
  </si>
  <si>
    <t>Março-2020</t>
  </si>
  <si>
    <t>Abril-2020</t>
  </si>
  <si>
    <t>PREVISÃO ATUALIZADA  2020</t>
  </si>
  <si>
    <t>Até o Bimestre de 2020</t>
  </si>
  <si>
    <t xml:space="preserve">   Despesas Previdenciárias Empenhadas</t>
  </si>
  <si>
    <t>Maio-2020</t>
  </si>
  <si>
    <t>Junho-2020</t>
  </si>
  <si>
    <t>Julho-2020</t>
  </si>
  <si>
    <t>Agosto-2020</t>
  </si>
  <si>
    <t>(d/tot.d)</t>
  </si>
  <si>
    <t xml:space="preserve">   Receita Resultante Imposto de Renda e Proventos de Qualquer Natureza Retido na Fonte IRRF</t>
  </si>
  <si>
    <t>DESPESA INTRA-ORÇAMENTÁRIA (II)</t>
  </si>
  <si>
    <t xml:space="preserve">  TOTAL ( III ) = (I + II)</t>
  </si>
  <si>
    <t>DESPESA (EXCETO INTRA-ORÇ.) (I)</t>
  </si>
  <si>
    <t>DESPESAS PRIMÁRIAS CORRENTES (XV) = (XIII - XIV)</t>
  </si>
  <si>
    <t>RECEITAS PRIMÁRIAS DE CAPITAL (XI) = (V-VI-VII-VIII-IX-X)</t>
  </si>
  <si>
    <t>DESPESAS PRIMÁRIAS CAPITAL (XXI)=(XVI-XVII-XVIII-XIX-XX)</t>
  </si>
  <si>
    <t>DÍVIDA CONSOLIDADA LÍQUIDA (XXXI)=(XXVIII-XXIX)</t>
  </si>
  <si>
    <t>DESPESA PRIMÁRIA TOTAL (XXIII) = (XV + XXI + XXII)</t>
  </si>
  <si>
    <t xml:space="preserve">RESULTADO PRIMÁRIO - Acima da linha                                        (XXIV) = (XIIa-(XXIIIa+XXIIIb+XXIIIc)) </t>
  </si>
  <si>
    <t>Plano de Amortização - Aporte Per. Val. Predefinidos</t>
  </si>
  <si>
    <t>Saldo do valor aplic. além do lim. mínimo após cancelamento e compensação                  ( r )=(o+q-p)³</t>
  </si>
  <si>
    <t>Despesas custeados no Exercício de Referência</t>
  </si>
  <si>
    <t>Setembro-2020</t>
  </si>
  <si>
    <t>Outubro-2020</t>
  </si>
  <si>
    <t>SALDO TOTAL                             (l) = (e+k)</t>
  </si>
  <si>
    <t>Saldo                        (k) = (f+g)-(i+j)</t>
  </si>
  <si>
    <t>Saldo                        (e) = (a+b)-(c+d)</t>
  </si>
  <si>
    <t>Despesas Ações e Serv. Púb. Saúde executadas com recursos de impostos</t>
  </si>
  <si>
    <t>Novembro-2020</t>
  </si>
  <si>
    <t>Dezembro-2020</t>
  </si>
  <si>
    <t xml:space="preserve">            Referência: JANEIRO-DEZEMBRO/2020; BIMESTRE: NOVEMBRO-DEZEMBRO/2020</t>
  </si>
  <si>
    <t xml:space="preserve">  São Luís,  de Janeiro de 2021.</t>
  </si>
  <si>
    <t>DEMONSTRATIVO DAS RECEITAS DE OPERAÇÕES DE CRÉDITO E DESPESAS DE CAPITAL</t>
  </si>
  <si>
    <t>ORÇAMENTO FISCAL E DA SEGURIDADE SOCIAL</t>
  </si>
  <si>
    <t>RREO - ANEXO 9 (art 53, § 1º, inciso I)</t>
  </si>
  <si>
    <t>SALDO NÃO REALIZADO</t>
  </si>
  <si>
    <t xml:space="preserve">  (a)</t>
  </si>
  <si>
    <t xml:space="preserve">  (b)</t>
  </si>
  <si>
    <t>(c) = (a-b)</t>
  </si>
  <si>
    <t>RECEITAS DE OPERAÇÕES DE CRÉDITO (I)</t>
  </si>
  <si>
    <t>SALDO NÃO EXECUTADO</t>
  </si>
  <si>
    <t xml:space="preserve"> (e)</t>
  </si>
  <si>
    <t>(f) = (d-e)</t>
  </si>
  <si>
    <t>DESPESA DE CAPITAL</t>
  </si>
  <si>
    <t xml:space="preserve">              Investimentos</t>
  </si>
  <si>
    <t xml:space="preserve">              Inversões Financeiras</t>
  </si>
  <si>
    <t xml:space="preserve">              Amortização da Dívida</t>
  </si>
  <si>
    <t>(-) Incentivos Fiscais a Contribuintes</t>
  </si>
  <si>
    <t>(-) Incentivos Fiscais a Contribuintes por Instituições Financeiras</t>
  </si>
  <si>
    <t>DESPESA DE CAPITAL LÍQUIDA (II)</t>
  </si>
  <si>
    <t>RESULTADO PARA APURAÇÃO DA REGRA DE OURO (III) = (I-II)</t>
  </si>
  <si>
    <t>DEMONST. DA PROJ. ATUARIAL DO REGIME PRÓPRIO DE PREV. DOS SERVIDORES</t>
  </si>
  <si>
    <t xml:space="preserve"> RREO - Anexo 10  (art. 53, § 1º, inciso II)</t>
  </si>
  <si>
    <t xml:space="preserve">RECEITAS </t>
  </si>
  <si>
    <t>RESULTADO</t>
  </si>
  <si>
    <t>SALDO FINANCEIRO DO EXERCÍCIO                   (d)=("d" exerc.anterior)+( c )</t>
  </si>
  <si>
    <t>PREVIDENCIÁRIAS</t>
  </si>
  <si>
    <t>PREVIDENCIÁRIO</t>
  </si>
  <si>
    <t xml:space="preserve">FONTE: IPAM - MUNICIPIO DE SÃO LUÍS  </t>
  </si>
  <si>
    <t>DEMONSTRATIVO DA RECEITA ALIENAÇÃO ATIVOS E APLICAÇÃO DE RECURSOS</t>
  </si>
  <si>
    <t>RREO - ANEXO 11 (art 53, § 1º, inciso III)</t>
  </si>
  <si>
    <t xml:space="preserve">SALDO </t>
  </si>
  <si>
    <t xml:space="preserve"> (b)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</si>
  <si>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</si>
  <si>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</si>
  <si>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</si>
  <si>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</si>
  <si>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Aplic. Financeiras</t>
  </si>
  <si>
    <t>DESPESAS EMPENHADAS   (e)</t>
  </si>
  <si>
    <t>DESPESAS PAGAS 
(f)</t>
  </si>
  <si>
    <t>PAGAMENTO DE RP
(g)</t>
  </si>
  <si>
    <t>SALDO 
(h) = (d-e)</t>
  </si>
  <si>
    <t>APLIC. RECURSOS ALIENAÇÃO DE ATIVOS (II)</t>
  </si>
  <si>
    <t xml:space="preserve">    Investimentos</t>
  </si>
  <si>
    <t xml:space="preserve">    Inversões Financeiras</t>
  </si>
  <si>
    <t xml:space="preserve">    Amortização da Dívida</t>
  </si>
  <si>
    <t>DESP. CORRENTES DOS REG. DE PREVIDÊNCIAS</t>
  </si>
  <si>
    <t xml:space="preserve">    Regime Próprio dos Servidores Públicos</t>
  </si>
  <si>
    <t>SALDO FINANCEIRO A APLICAR</t>
  </si>
  <si>
    <t>EXERCÍCIO DE 2019</t>
  </si>
  <si>
    <t xml:space="preserve">SALDO ATUAL                                               
(k) =(IIIi+IIIj) </t>
  </si>
  <si>
    <t>(i)</t>
  </si>
  <si>
    <t>(j) = (Ib-(IIf+IIg))</t>
  </si>
  <si>
    <t>VALOR (III)</t>
  </si>
  <si>
    <t>REFERÊNCIA:  2019 A 2093</t>
  </si>
  <si>
    <t xml:space="preserve">FONTE: ARIMA - CONSULTORIA ATUARIAL E GESTÃO DE RISCO  </t>
  </si>
  <si>
    <t>PAGOS                                        (c)</t>
  </si>
  <si>
    <t>Em 31 de        Dezembro de 2020           (g)</t>
  </si>
  <si>
    <t>Em 31 de Dezembro de 2020                (b)</t>
  </si>
  <si>
    <r>
      <t xml:space="preserve">Limite não Cumprido (XIX) = XVIII </t>
    </r>
    <r>
      <rPr>
        <sz val="10"/>
        <color indexed="60"/>
        <rFont val="Arial"/>
        <family val="2"/>
      </rPr>
      <t>(Quando o valor for inferior a zero)</t>
    </r>
  </si>
  <si>
    <r>
      <t xml:space="preserve">Difer. de Lim. não Cumprido  em Exercícios Anteriores </t>
    </r>
    <r>
      <rPr>
        <sz val="10"/>
        <color indexed="10"/>
        <rFont val="Arial"/>
        <family val="2"/>
      </rPr>
      <t>(Saldo Inicial igual ao saldo final do demonstrativo do exercício anterior)</t>
    </r>
  </si>
  <si>
    <t xml:space="preserve">          Fundo Municipal dos Direitos da Pessoa Idosa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</si>
</sst>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&quot;R$ &quot;#,##0.00_);[Red]&quot;(R$ &quot;#,##0.00\)"/>
    <numFmt numFmtId="167" formatCode="#,##0.00;[Red]#,##0.00"/>
    <numFmt numFmtId="168" formatCode="0.00_);[Red]\(0.00\)"/>
    <numFmt numFmtId="169" formatCode="mm/yy"/>
    <numFmt numFmtId="170" formatCode="&quot;R$ &quot;#,##0.00_);[Red]\(&quot;R$ &quot;#,##0.00\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_(* #,##0.0_);_(* \(#,##0.0\);_(* \-??_);_(@_)"/>
    <numFmt numFmtId="176" formatCode="[$-416]dddd\,\ d&quot; de &quot;mmmm&quot; de &quot;yyyy"/>
    <numFmt numFmtId="177" formatCode="#,##0.00_ ;[Red]\-#,##0.00\ "/>
    <numFmt numFmtId="178" formatCode="&quot;R$&quot;\ #,##0.0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%"/>
    <numFmt numFmtId="185" formatCode="0.0000000"/>
    <numFmt numFmtId="186" formatCode="0.000000"/>
    <numFmt numFmtId="187" formatCode="0.00000"/>
    <numFmt numFmtId="188" formatCode="#,##0.0;\-#,##0.0"/>
    <numFmt numFmtId="189" formatCode="0.000000000"/>
    <numFmt numFmtId="190" formatCode="0.0000000000"/>
    <numFmt numFmtId="191" formatCode="0.00000000"/>
    <numFmt numFmtId="192" formatCode="_(* #,##0_);_(* \(#,##0\);_(* \-??_);_(@_)"/>
  </numFmts>
  <fonts count="10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Segoe UI"/>
      <family val="2"/>
    </font>
    <font>
      <b/>
      <sz val="10"/>
      <color indexed="10"/>
      <name val="Arial"/>
      <family val="2"/>
    </font>
    <font>
      <sz val="10"/>
      <color indexed="8"/>
      <name val="LucidaSansRegular"/>
      <family val="0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5"/>
      <color indexed="8"/>
      <name val="Times New Roman"/>
      <family val="0"/>
    </font>
    <font>
      <sz val="15"/>
      <color indexed="8"/>
      <name val="Times New Roman"/>
      <family val="0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sz val="1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7"/>
      <color indexed="8"/>
      <name val="Times New Roman"/>
      <family val="0"/>
    </font>
    <font>
      <sz val="17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/>
      <bottom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</cellStyleXfs>
  <cellXfs count="24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5" fontId="2" fillId="0" borderId="0" xfId="83" applyFont="1" applyFill="1" applyBorder="1" applyAlignment="1" applyProtection="1">
      <alignment/>
      <protection/>
    </xf>
    <xf numFmtId="0" fontId="2" fillId="0" borderId="0" xfId="0" applyNumberFormat="1" applyFont="1" applyBorder="1" applyAlignment="1">
      <alignment/>
    </xf>
    <xf numFmtId="165" fontId="3" fillId="0" borderId="0" xfId="83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165" fontId="3" fillId="0" borderId="0" xfId="83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 horizontal="left" indent="7"/>
    </xf>
    <xf numFmtId="165" fontId="3" fillId="0" borderId="0" xfId="83" applyFont="1" applyFill="1" applyBorder="1" applyAlignment="1" applyProtection="1">
      <alignment horizontal="right"/>
      <protection/>
    </xf>
    <xf numFmtId="165" fontId="3" fillId="0" borderId="0" xfId="83" applyFont="1" applyFill="1" applyBorder="1" applyAlignment="1" applyProtection="1">
      <alignment horizontal="center"/>
      <protection/>
    </xf>
    <xf numFmtId="166" fontId="3" fillId="0" borderId="0" xfId="83" applyNumberFormat="1" applyFont="1" applyFill="1" applyBorder="1" applyAlignment="1" applyProtection="1">
      <alignment horizontal="right"/>
      <protection/>
    </xf>
    <xf numFmtId="165" fontId="3" fillId="0" borderId="10" xfId="83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1" xfId="83" applyFont="1" applyFill="1" applyBorder="1" applyAlignment="1" applyProtection="1">
      <alignment vertical="center"/>
      <protection/>
    </xf>
    <xf numFmtId="165" fontId="3" fillId="0" borderId="12" xfId="83" applyFont="1" applyFill="1" applyBorder="1" applyAlignment="1" applyProtection="1">
      <alignment vertical="center"/>
      <protection/>
    </xf>
    <xf numFmtId="165" fontId="4" fillId="0" borderId="0" xfId="83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165" fontId="15" fillId="0" borderId="0" xfId="83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12" fillId="0" borderId="0" xfId="53" applyFont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53" applyFont="1" applyFill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4" fontId="12" fillId="0" borderId="0" xfId="0" applyNumberFormat="1" applyFont="1" applyFill="1" applyAlignment="1">
      <alignment/>
    </xf>
    <xf numFmtId="164" fontId="2" fillId="0" borderId="0" xfId="0" applyNumberFormat="1" applyFont="1" applyAlignment="1">
      <alignment horizontal="center"/>
    </xf>
    <xf numFmtId="168" fontId="10" fillId="0" borderId="0" xfId="0" applyNumberFormat="1" applyFont="1" applyFill="1" applyAlignment="1">
      <alignment/>
    </xf>
    <xf numFmtId="0" fontId="12" fillId="0" borderId="0" xfId="56" applyFont="1" applyFill="1" applyAlignment="1">
      <alignment horizontal="center"/>
      <protection/>
    </xf>
    <xf numFmtId="165" fontId="16" fillId="0" borderId="0" xfId="83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12" fillId="33" borderId="0" xfId="0" applyFont="1" applyFill="1" applyAlignment="1">
      <alignment/>
    </xf>
    <xf numFmtId="165" fontId="12" fillId="33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165" fontId="12" fillId="0" borderId="0" xfId="0" applyNumberFormat="1" applyFont="1" applyFill="1" applyBorder="1" applyAlignment="1">
      <alignment/>
    </xf>
    <xf numFmtId="43" fontId="12" fillId="0" borderId="0" xfId="53" applyNumberFormat="1" applyFont="1" applyAlignment="1">
      <alignment horizontal="center" vertical="center"/>
      <protection/>
    </xf>
    <xf numFmtId="43" fontId="12" fillId="0" borderId="0" xfId="0" applyNumberFormat="1" applyFont="1" applyAlignment="1">
      <alignment horizontal="center" vertical="center"/>
    </xf>
    <xf numFmtId="165" fontId="3" fillId="0" borderId="0" xfId="83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7"/>
    </xf>
    <xf numFmtId="165" fontId="12" fillId="0" borderId="0" xfId="62" applyFont="1" applyFill="1" applyBorder="1" applyAlignment="1" applyProtection="1">
      <alignment/>
      <protection/>
    </xf>
    <xf numFmtId="165" fontId="0" fillId="0" borderId="0" xfId="83" applyFont="1" applyFill="1" applyAlignment="1">
      <alignment/>
    </xf>
    <xf numFmtId="40" fontId="10" fillId="0" borderId="0" xfId="62" applyNumberFormat="1" applyFont="1" applyFill="1" applyBorder="1" applyAlignment="1" applyProtection="1">
      <alignment vertical="center"/>
      <protection/>
    </xf>
    <xf numFmtId="167" fontId="10" fillId="0" borderId="0" xfId="0" applyNumberFormat="1" applyFont="1" applyBorder="1" applyAlignment="1">
      <alignment vertical="center"/>
    </xf>
    <xf numFmtId="165" fontId="0" fillId="0" borderId="0" xfId="83" applyFont="1" applyFill="1" applyAlignment="1">
      <alignment horizontal="left" vertical="center"/>
    </xf>
    <xf numFmtId="165" fontId="0" fillId="0" borderId="0" xfId="83" applyFont="1" applyFill="1" applyAlignment="1">
      <alignment vertical="center"/>
    </xf>
    <xf numFmtId="165" fontId="10" fillId="0" borderId="0" xfId="83" applyFont="1" applyFill="1" applyAlignment="1">
      <alignment/>
    </xf>
    <xf numFmtId="165" fontId="0" fillId="0" borderId="0" xfId="83" applyFont="1" applyBorder="1" applyAlignment="1">
      <alignment horizontal="center" vertical="center"/>
    </xf>
    <xf numFmtId="165" fontId="12" fillId="0" borderId="0" xfId="53" applyNumberFormat="1" applyFont="1" applyBorder="1" applyAlignment="1">
      <alignment horizontal="center" vertical="center"/>
      <protection/>
    </xf>
    <xf numFmtId="165" fontId="0" fillId="0" borderId="0" xfId="83" applyFont="1" applyBorder="1" applyAlignment="1">
      <alignment/>
    </xf>
    <xf numFmtId="165" fontId="4" fillId="0" borderId="18" xfId="83" applyFont="1" applyFill="1" applyBorder="1" applyAlignment="1" applyProtection="1">
      <alignment horizontal="center" vertical="center"/>
      <protection/>
    </xf>
    <xf numFmtId="165" fontId="4" fillId="0" borderId="19" xfId="83" applyFont="1" applyFill="1" applyBorder="1" applyAlignment="1" applyProtection="1">
      <alignment horizontal="center" vertical="center"/>
      <protection/>
    </xf>
    <xf numFmtId="165" fontId="3" fillId="0" borderId="11" xfId="83" applyFont="1" applyFill="1" applyBorder="1" applyAlignment="1" applyProtection="1">
      <alignment horizontal="center" vertical="center"/>
      <protection/>
    </xf>
    <xf numFmtId="165" fontId="3" fillId="0" borderId="20" xfId="83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9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" fontId="0" fillId="0" borderId="0" xfId="0" applyNumberFormat="1" applyFont="1" applyFill="1" applyBorder="1" applyAlignment="1">
      <alignment horizontal="center"/>
    </xf>
    <xf numFmtId="0" fontId="12" fillId="0" borderId="0" xfId="56" applyFont="1" applyFill="1" applyBorder="1" applyAlignment="1">
      <alignment horizontal="center"/>
      <protection/>
    </xf>
    <xf numFmtId="0" fontId="0" fillId="0" borderId="0" xfId="0" applyNumberFormat="1" applyFont="1" applyAlignment="1">
      <alignment/>
    </xf>
    <xf numFmtId="165" fontId="21" fillId="0" borderId="13" xfId="83" applyFont="1" applyFill="1" applyBorder="1" applyAlignment="1" applyProtection="1">
      <alignment horizontal="center"/>
      <protection/>
    </xf>
    <xf numFmtId="165" fontId="21" fillId="0" borderId="14" xfId="83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>
      <alignment/>
    </xf>
    <xf numFmtId="165" fontId="21" fillId="0" borderId="0" xfId="83" applyFont="1" applyFill="1" applyBorder="1" applyAlignment="1" applyProtection="1">
      <alignment vertical="center"/>
      <protection/>
    </xf>
    <xf numFmtId="165" fontId="17" fillId="0" borderId="0" xfId="83" applyFont="1" applyFill="1" applyBorder="1" applyAlignment="1" applyProtection="1">
      <alignment vertical="center"/>
      <protection/>
    </xf>
    <xf numFmtId="165" fontId="91" fillId="0" borderId="0" xfId="83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165" fontId="21" fillId="0" borderId="11" xfId="83" applyFont="1" applyFill="1" applyBorder="1" applyAlignment="1" applyProtection="1">
      <alignment horizontal="center"/>
      <protection/>
    </xf>
    <xf numFmtId="165" fontId="21" fillId="0" borderId="12" xfId="83" applyFont="1" applyFill="1" applyBorder="1" applyAlignment="1" applyProtection="1">
      <alignment horizontal="center" vertical="center"/>
      <protection/>
    </xf>
    <xf numFmtId="165" fontId="21" fillId="0" borderId="0" xfId="83" applyFont="1" applyFill="1" applyBorder="1" applyAlignment="1" applyProtection="1">
      <alignment horizontal="center" vertical="center"/>
      <protection/>
    </xf>
    <xf numFmtId="165" fontId="21" fillId="0" borderId="11" xfId="83" applyFont="1" applyFill="1" applyBorder="1" applyAlignment="1" applyProtection="1">
      <alignment horizontal="center" vertical="top" wrapText="1"/>
      <protection/>
    </xf>
    <xf numFmtId="165" fontId="21" fillId="0" borderId="12" xfId="83" applyFont="1" applyFill="1" applyBorder="1" applyAlignment="1" applyProtection="1">
      <alignment horizontal="center" vertical="center" wrapText="1"/>
      <protection/>
    </xf>
    <xf numFmtId="165" fontId="21" fillId="0" borderId="21" xfId="83" applyFont="1" applyFill="1" applyBorder="1" applyAlignment="1" applyProtection="1">
      <alignment horizontal="center" vertical="center" wrapText="1"/>
      <protection/>
    </xf>
    <xf numFmtId="165" fontId="21" fillId="0" borderId="22" xfId="83" applyFont="1" applyFill="1" applyBorder="1" applyAlignment="1" applyProtection="1">
      <alignment horizontal="center" vertical="center"/>
      <protection/>
    </xf>
    <xf numFmtId="165" fontId="21" fillId="0" borderId="10" xfId="83" applyFont="1" applyFill="1" applyBorder="1" applyAlignment="1" applyProtection="1">
      <alignment horizontal="center"/>
      <protection/>
    </xf>
    <xf numFmtId="165" fontId="21" fillId="0" borderId="10" xfId="83" applyFont="1" applyFill="1" applyBorder="1" applyAlignment="1" applyProtection="1">
      <alignment horizontal="center" vertical="center"/>
      <protection/>
    </xf>
    <xf numFmtId="165" fontId="21" fillId="0" borderId="15" xfId="83" applyFont="1" applyFill="1" applyBorder="1" applyAlignment="1" applyProtection="1">
      <alignment horizontal="center"/>
      <protection/>
    </xf>
    <xf numFmtId="165" fontId="21" fillId="0" borderId="23" xfId="83" applyFont="1" applyFill="1" applyBorder="1" applyAlignment="1" applyProtection="1">
      <alignment horizontal="center" vertical="center" wrapText="1"/>
      <protection/>
    </xf>
    <xf numFmtId="165" fontId="21" fillId="0" borderId="24" xfId="83" applyFont="1" applyFill="1" applyBorder="1" applyAlignment="1" applyProtection="1">
      <alignment horizontal="center" vertical="center" wrapText="1"/>
      <protection/>
    </xf>
    <xf numFmtId="165" fontId="17" fillId="0" borderId="11" xfId="83" applyFont="1" applyFill="1" applyBorder="1" applyAlignment="1" applyProtection="1">
      <alignment horizontal="center"/>
      <protection/>
    </xf>
    <xf numFmtId="165" fontId="21" fillId="0" borderId="0" xfId="0" applyNumberFormat="1" applyFont="1" applyFill="1" applyBorder="1" applyAlignment="1">
      <alignment/>
    </xf>
    <xf numFmtId="165" fontId="17" fillId="0" borderId="11" xfId="83" applyFont="1" applyFill="1" applyBorder="1" applyAlignment="1" applyProtection="1">
      <alignment vertical="center"/>
      <protection/>
    </xf>
    <xf numFmtId="165" fontId="17" fillId="0" borderId="12" xfId="83" applyFont="1" applyFill="1" applyBorder="1" applyAlignment="1" applyProtection="1">
      <alignment vertical="center"/>
      <protection/>
    </xf>
    <xf numFmtId="2" fontId="21" fillId="0" borderId="0" xfId="83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>
      <alignment/>
    </xf>
    <xf numFmtId="165" fontId="21" fillId="0" borderId="11" xfId="83" applyFont="1" applyFill="1" applyBorder="1" applyAlignment="1" applyProtection="1">
      <alignment vertical="center"/>
      <protection/>
    </xf>
    <xf numFmtId="165" fontId="21" fillId="33" borderId="20" xfId="83" applyFont="1" applyFill="1" applyBorder="1" applyAlignment="1">
      <alignment vertical="center"/>
    </xf>
    <xf numFmtId="165" fontId="21" fillId="0" borderId="11" xfId="62" applyFont="1" applyFill="1" applyBorder="1" applyAlignment="1" applyProtection="1">
      <alignment vertical="center"/>
      <protection/>
    </xf>
    <xf numFmtId="165" fontId="21" fillId="33" borderId="11" xfId="83" applyFont="1" applyFill="1" applyBorder="1" applyAlignment="1" applyProtection="1">
      <alignment vertical="center"/>
      <protection/>
    </xf>
    <xf numFmtId="165" fontId="21" fillId="0" borderId="12" xfId="83" applyFont="1" applyFill="1" applyBorder="1" applyAlignment="1" applyProtection="1">
      <alignment vertical="center"/>
      <protection/>
    </xf>
    <xf numFmtId="165" fontId="92" fillId="0" borderId="0" xfId="83" applyFont="1" applyFill="1" applyBorder="1" applyAlignment="1" applyProtection="1">
      <alignment horizontal="center" vertical="center"/>
      <protection/>
    </xf>
    <xf numFmtId="165" fontId="17" fillId="33" borderId="11" xfId="83" applyFont="1" applyFill="1" applyBorder="1" applyAlignment="1" applyProtection="1">
      <alignment vertical="center"/>
      <protection/>
    </xf>
    <xf numFmtId="0" fontId="17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5" fontId="22" fillId="0" borderId="0" xfId="0" applyNumberFormat="1" applyFont="1" applyFill="1" applyBorder="1" applyAlignment="1">
      <alignment/>
    </xf>
    <xf numFmtId="165" fontId="17" fillId="0" borderId="11" xfId="62" applyFont="1" applyFill="1" applyBorder="1" applyAlignment="1" applyProtection="1">
      <alignment vertical="center"/>
      <protection/>
    </xf>
    <xf numFmtId="165" fontId="17" fillId="0" borderId="10" xfId="83" applyFont="1" applyFill="1" applyBorder="1" applyAlignment="1" applyProtection="1">
      <alignment horizontal="center" vertical="center"/>
      <protection/>
    </xf>
    <xf numFmtId="165" fontId="17" fillId="0" borderId="25" xfId="83" applyFont="1" applyFill="1" applyBorder="1" applyAlignment="1" applyProtection="1">
      <alignment/>
      <protection/>
    </xf>
    <xf numFmtId="0" fontId="17" fillId="0" borderId="0" xfId="0" applyNumberFormat="1" applyFont="1" applyAlignment="1">
      <alignment/>
    </xf>
    <xf numFmtId="165" fontId="17" fillId="0" borderId="14" xfId="83" applyFont="1" applyFill="1" applyBorder="1" applyAlignment="1" applyProtection="1">
      <alignment vertical="center"/>
      <protection/>
    </xf>
    <xf numFmtId="165" fontId="17" fillId="33" borderId="14" xfId="83" applyFont="1" applyFill="1" applyBorder="1" applyAlignment="1" applyProtection="1">
      <alignment vertical="center"/>
      <protection/>
    </xf>
    <xf numFmtId="0" fontId="17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165" fontId="17" fillId="33" borderId="12" xfId="83" applyFont="1" applyFill="1" applyBorder="1" applyAlignment="1" applyProtection="1">
      <alignment vertical="center"/>
      <protection/>
    </xf>
    <xf numFmtId="165" fontId="21" fillId="33" borderId="12" xfId="83" applyFont="1" applyFill="1" applyBorder="1" applyAlignment="1" applyProtection="1">
      <alignment vertical="center"/>
      <protection/>
    </xf>
    <xf numFmtId="165" fontId="21" fillId="0" borderId="12" xfId="83" applyFont="1" applyFill="1" applyBorder="1" applyAlignment="1" applyProtection="1">
      <alignment horizontal="center"/>
      <protection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65" fontId="21" fillId="0" borderId="0" xfId="83" applyFont="1" applyAlignment="1">
      <alignment/>
    </xf>
    <xf numFmtId="177" fontId="17" fillId="0" borderId="0" xfId="0" applyNumberFormat="1" applyFont="1" applyBorder="1" applyAlignment="1">
      <alignment/>
    </xf>
    <xf numFmtId="165" fontId="21" fillId="0" borderId="15" xfId="83" applyFont="1" applyFill="1" applyBorder="1" applyAlignment="1" applyProtection="1">
      <alignment vertical="center"/>
      <protection/>
    </xf>
    <xf numFmtId="165" fontId="21" fillId="33" borderId="26" xfId="83" applyFont="1" applyFill="1" applyBorder="1" applyAlignment="1">
      <alignment vertical="center"/>
    </xf>
    <xf numFmtId="165" fontId="17" fillId="0" borderId="15" xfId="83" applyFont="1" applyFill="1" applyBorder="1" applyAlignment="1" applyProtection="1">
      <alignment vertical="center"/>
      <protection/>
    </xf>
    <xf numFmtId="165" fontId="17" fillId="0" borderId="27" xfId="83" applyFont="1" applyFill="1" applyBorder="1" applyAlignment="1" applyProtection="1">
      <alignment vertical="center"/>
      <protection/>
    </xf>
    <xf numFmtId="165" fontId="17" fillId="0" borderId="25" xfId="83" applyFont="1" applyFill="1" applyBorder="1" applyAlignment="1" applyProtection="1">
      <alignment horizontal="right" vertical="center"/>
      <protection/>
    </xf>
    <xf numFmtId="165" fontId="17" fillId="0" borderId="28" xfId="83" applyFont="1" applyFill="1" applyBorder="1" applyAlignment="1" applyProtection="1">
      <alignment vertical="center"/>
      <protection/>
    </xf>
    <xf numFmtId="165" fontId="17" fillId="0" borderId="18" xfId="83" applyFont="1" applyFill="1" applyBorder="1" applyAlignment="1" applyProtection="1">
      <alignment vertical="center"/>
      <protection/>
    </xf>
    <xf numFmtId="165" fontId="17" fillId="0" borderId="0" xfId="83" applyFont="1" applyFill="1" applyBorder="1" applyAlignment="1" applyProtection="1">
      <alignment/>
      <protection/>
    </xf>
    <xf numFmtId="165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Fill="1" applyBorder="1" applyAlignment="1">
      <alignment vertical="center"/>
    </xf>
    <xf numFmtId="165" fontId="17" fillId="0" borderId="0" xfId="83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/>
    </xf>
    <xf numFmtId="165" fontId="21" fillId="0" borderId="25" xfId="83" applyFont="1" applyFill="1" applyBorder="1" applyAlignment="1" applyProtection="1">
      <alignment horizontal="center" vertical="center" wrapText="1"/>
      <protection/>
    </xf>
    <xf numFmtId="165" fontId="21" fillId="0" borderId="19" xfId="83" applyFont="1" applyFill="1" applyBorder="1" applyAlignment="1" applyProtection="1">
      <alignment horizontal="center" vertical="center" wrapText="1"/>
      <protection/>
    </xf>
    <xf numFmtId="165" fontId="17" fillId="0" borderId="19" xfId="83" applyFont="1" applyFill="1" applyBorder="1" applyAlignment="1" applyProtection="1">
      <alignment horizontal="center" vertical="center" wrapText="1"/>
      <protection/>
    </xf>
    <xf numFmtId="165" fontId="17" fillId="0" borderId="19" xfId="83" applyFont="1" applyFill="1" applyBorder="1" applyAlignment="1" applyProtection="1">
      <alignment horizontal="left" vertical="center"/>
      <protection/>
    </xf>
    <xf numFmtId="165" fontId="17" fillId="0" borderId="25" xfId="83" applyFont="1" applyFill="1" applyBorder="1" applyAlignment="1" applyProtection="1">
      <alignment horizontal="left" vertical="center"/>
      <protection/>
    </xf>
    <xf numFmtId="43" fontId="21" fillId="0" borderId="0" xfId="0" applyNumberFormat="1" applyFont="1" applyAlignment="1">
      <alignment horizontal="center"/>
    </xf>
    <xf numFmtId="43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165" fontId="17" fillId="0" borderId="11" xfId="83" applyFont="1" applyFill="1" applyBorder="1" applyAlignment="1" applyProtection="1">
      <alignment horizontal="left" vertical="center"/>
      <protection/>
    </xf>
    <xf numFmtId="165" fontId="17" fillId="0" borderId="0" xfId="83" applyFont="1" applyFill="1" applyBorder="1" applyAlignment="1" applyProtection="1">
      <alignment horizontal="left" vertical="center"/>
      <protection/>
    </xf>
    <xf numFmtId="165" fontId="17" fillId="0" borderId="0" xfId="0" applyNumberFormat="1" applyFont="1" applyFill="1" applyAlignment="1">
      <alignment horizontal="center"/>
    </xf>
    <xf numFmtId="43" fontId="17" fillId="0" borderId="11" xfId="83" applyNumberFormat="1" applyFont="1" applyFill="1" applyBorder="1" applyAlignment="1" applyProtection="1">
      <alignment horizontal="left" vertical="center"/>
      <protection/>
    </xf>
    <xf numFmtId="165" fontId="17" fillId="0" borderId="0" xfId="83" applyFont="1" applyFill="1" applyBorder="1" applyAlignment="1" applyProtection="1">
      <alignment horizontal="center" vertical="center" wrapText="1"/>
      <protection/>
    </xf>
    <xf numFmtId="165" fontId="21" fillId="0" borderId="11" xfId="83" applyFont="1" applyFill="1" applyBorder="1" applyAlignment="1" applyProtection="1">
      <alignment horizontal="left" vertical="center"/>
      <protection/>
    </xf>
    <xf numFmtId="165" fontId="21" fillId="0" borderId="0" xfId="83" applyFont="1" applyFill="1" applyBorder="1" applyAlignment="1" applyProtection="1">
      <alignment horizontal="left" vertical="center"/>
      <protection/>
    </xf>
    <xf numFmtId="165" fontId="21" fillId="0" borderId="0" xfId="0" applyNumberFormat="1" applyFont="1" applyFill="1" applyAlignment="1">
      <alignment horizontal="center"/>
    </xf>
    <xf numFmtId="165" fontId="21" fillId="0" borderId="12" xfId="83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Alignment="1">
      <alignment horizontal="center"/>
    </xf>
    <xf numFmtId="165" fontId="21" fillId="0" borderId="11" xfId="83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Alignment="1">
      <alignment horizontal="center"/>
    </xf>
    <xf numFmtId="43" fontId="21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165" fontId="17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 horizontal="center"/>
    </xf>
    <xf numFmtId="165" fontId="21" fillId="0" borderId="0" xfId="83" applyFont="1" applyFill="1" applyBorder="1" applyAlignment="1">
      <alignment/>
    </xf>
    <xf numFmtId="165" fontId="17" fillId="0" borderId="0" xfId="83" applyFont="1" applyFill="1" applyAlignment="1">
      <alignment horizontal="center"/>
    </xf>
    <xf numFmtId="164" fontId="23" fillId="0" borderId="0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 horizontal="center"/>
    </xf>
    <xf numFmtId="165" fontId="21" fillId="0" borderId="29" xfId="83" applyFont="1" applyFill="1" applyBorder="1" applyAlignment="1" applyProtection="1">
      <alignment horizontal="left" vertical="center"/>
      <protection/>
    </xf>
    <xf numFmtId="165" fontId="21" fillId="0" borderId="30" xfId="83" applyFont="1" applyFill="1" applyBorder="1" applyAlignment="1" applyProtection="1">
      <alignment horizontal="left" vertical="center"/>
      <protection/>
    </xf>
    <xf numFmtId="165" fontId="21" fillId="0" borderId="29" xfId="83" applyFont="1" applyFill="1" applyBorder="1" applyAlignment="1" applyProtection="1">
      <alignment horizontal="center" vertical="center"/>
      <protection/>
    </xf>
    <xf numFmtId="165" fontId="21" fillId="0" borderId="0" xfId="83" applyFont="1" applyFill="1" applyAlignment="1">
      <alignment horizontal="center"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 vertical="center" indent="2"/>
    </xf>
    <xf numFmtId="43" fontId="21" fillId="33" borderId="0" xfId="83" applyNumberFormat="1" applyFont="1" applyFill="1" applyBorder="1" applyAlignment="1" applyProtection="1">
      <alignment horizontal="center" vertical="center"/>
      <protection/>
    </xf>
    <xf numFmtId="164" fontId="21" fillId="33" borderId="0" xfId="83" applyNumberFormat="1" applyFont="1" applyFill="1" applyBorder="1" applyAlignment="1" applyProtection="1">
      <alignment horizontal="center" vertical="center"/>
      <protection/>
    </xf>
    <xf numFmtId="165" fontId="21" fillId="0" borderId="0" xfId="83" applyFont="1" applyFill="1" applyBorder="1" applyAlignment="1" applyProtection="1">
      <alignment horizontal="left" vertical="center" wrapText="1"/>
      <protection/>
    </xf>
    <xf numFmtId="165" fontId="21" fillId="0" borderId="0" xfId="83" applyFont="1" applyFill="1" applyBorder="1" applyAlignment="1">
      <alignment horizontal="center"/>
    </xf>
    <xf numFmtId="0" fontId="21" fillId="0" borderId="0" xfId="0" applyNumberFormat="1" applyFont="1" applyAlignment="1">
      <alignment horizontal="center"/>
    </xf>
    <xf numFmtId="165" fontId="17" fillId="0" borderId="31" xfId="83" applyFont="1" applyFill="1" applyBorder="1" applyAlignment="1" applyProtection="1">
      <alignment horizontal="left" vertical="center"/>
      <protection/>
    </xf>
    <xf numFmtId="165" fontId="17" fillId="0" borderId="31" xfId="83" applyFont="1" applyFill="1" applyBorder="1" applyAlignment="1" applyProtection="1">
      <alignment horizontal="right" vertical="center"/>
      <protection/>
    </xf>
    <xf numFmtId="165" fontId="17" fillId="0" borderId="32" xfId="83" applyFont="1" applyFill="1" applyBorder="1" applyAlignment="1" applyProtection="1">
      <alignment horizontal="left" vertical="center"/>
      <protection/>
    </xf>
    <xf numFmtId="165" fontId="17" fillId="0" borderId="33" xfId="83" applyFont="1" applyFill="1" applyBorder="1" applyAlignment="1" applyProtection="1">
      <alignment horizontal="left" vertical="center"/>
      <protection/>
    </xf>
    <xf numFmtId="164" fontId="17" fillId="0" borderId="0" xfId="0" applyNumberFormat="1" applyFont="1" applyFill="1" applyAlignment="1">
      <alignment horizontal="center"/>
    </xf>
    <xf numFmtId="43" fontId="17" fillId="0" borderId="11" xfId="83" applyNumberFormat="1" applyFont="1" applyFill="1" applyBorder="1" applyAlignment="1" applyProtection="1">
      <alignment horizontal="right" vertical="center"/>
      <protection/>
    </xf>
    <xf numFmtId="165" fontId="17" fillId="0" borderId="11" xfId="83" applyFont="1" applyFill="1" applyBorder="1" applyAlignment="1" applyProtection="1">
      <alignment horizontal="right" vertical="center"/>
      <protection/>
    </xf>
    <xf numFmtId="165" fontId="21" fillId="0" borderId="0" xfId="0" applyNumberFormat="1" applyFont="1" applyFill="1" applyAlignment="1">
      <alignment/>
    </xf>
    <xf numFmtId="165" fontId="17" fillId="0" borderId="14" xfId="83" applyFont="1" applyFill="1" applyBorder="1" applyAlignment="1" applyProtection="1">
      <alignment horizontal="right" vertical="center"/>
      <protection/>
    </xf>
    <xf numFmtId="165" fontId="17" fillId="0" borderId="12" xfId="83" applyFont="1" applyFill="1" applyBorder="1" applyAlignment="1" applyProtection="1">
      <alignment horizontal="center" vertical="center"/>
      <protection/>
    </xf>
    <xf numFmtId="165" fontId="17" fillId="0" borderId="34" xfId="83" applyFont="1" applyFill="1" applyBorder="1" applyAlignment="1" applyProtection="1">
      <alignment horizontal="left" vertical="center"/>
      <protection/>
    </xf>
    <xf numFmtId="43" fontId="17" fillId="0" borderId="0" xfId="0" applyNumberFormat="1" applyFont="1" applyFill="1" applyAlignment="1">
      <alignment horizontal="center"/>
    </xf>
    <xf numFmtId="165" fontId="17" fillId="0" borderId="12" xfId="83" applyFont="1" applyFill="1" applyBorder="1" applyAlignment="1" applyProtection="1">
      <alignment horizontal="right" vertical="center"/>
      <protection/>
    </xf>
    <xf numFmtId="165" fontId="21" fillId="0" borderId="12" xfId="83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>
      <alignment horizontal="center"/>
    </xf>
    <xf numFmtId="165" fontId="21" fillId="0" borderId="15" xfId="83" applyFont="1" applyFill="1" applyBorder="1" applyAlignment="1" applyProtection="1">
      <alignment horizontal="right" vertical="center"/>
      <protection/>
    </xf>
    <xf numFmtId="165" fontId="21" fillId="0" borderId="15" xfId="83" applyFont="1" applyFill="1" applyBorder="1" applyAlignment="1" applyProtection="1">
      <alignment horizontal="left" vertical="center"/>
      <protection/>
    </xf>
    <xf numFmtId="165" fontId="17" fillId="0" borderId="18" xfId="83" applyFont="1" applyFill="1" applyBorder="1" applyAlignment="1" applyProtection="1">
      <alignment horizontal="left" vertical="center"/>
      <protection/>
    </xf>
    <xf numFmtId="165" fontId="17" fillId="0" borderId="13" xfId="83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165" fontId="17" fillId="0" borderId="19" xfId="83" applyFont="1" applyFill="1" applyBorder="1" applyAlignment="1" applyProtection="1">
      <alignment horizontal="right" vertical="center"/>
      <protection/>
    </xf>
    <xf numFmtId="43" fontId="17" fillId="0" borderId="0" xfId="0" applyNumberFormat="1" applyFont="1" applyFill="1" applyBorder="1" applyAlignment="1">
      <alignment/>
    </xf>
    <xf numFmtId="165" fontId="17" fillId="0" borderId="10" xfId="83" applyFont="1" applyFill="1" applyBorder="1" applyAlignment="1" applyProtection="1">
      <alignment horizontal="left" vertical="center"/>
      <protection/>
    </xf>
    <xf numFmtId="165" fontId="17" fillId="0" borderId="0" xfId="83" applyFont="1" applyFill="1" applyBorder="1" applyAlignment="1" applyProtection="1">
      <alignment horizontal="center" vertical="center"/>
      <protection/>
    </xf>
    <xf numFmtId="165" fontId="21" fillId="0" borderId="0" xfId="83" applyFont="1" applyFill="1" applyBorder="1" applyAlignment="1" applyProtection="1">
      <alignment horizontal="center"/>
      <protection/>
    </xf>
    <xf numFmtId="165" fontId="21" fillId="0" borderId="34" xfId="83" applyFont="1" applyFill="1" applyBorder="1" applyAlignment="1" applyProtection="1">
      <alignment horizontal="center"/>
      <protection/>
    </xf>
    <xf numFmtId="49" fontId="21" fillId="0" borderId="0" xfId="0" applyNumberFormat="1" applyFont="1" applyFill="1" applyAlignment="1">
      <alignment horizontal="left" indent="7"/>
    </xf>
    <xf numFmtId="4" fontId="17" fillId="0" borderId="0" xfId="0" applyNumberFormat="1" applyFont="1" applyFill="1" applyBorder="1" applyAlignment="1">
      <alignment horizontal="left" indent="7"/>
    </xf>
    <xf numFmtId="0" fontId="21" fillId="0" borderId="0" xfId="0" applyFont="1" applyFill="1" applyAlignment="1">
      <alignment horizontal="left" indent="7"/>
    </xf>
    <xf numFmtId="0" fontId="11" fillId="0" borderId="0" xfId="0" applyFont="1" applyFill="1" applyBorder="1" applyAlignment="1">
      <alignment horizontal="left" indent="7"/>
    </xf>
    <xf numFmtId="165" fontId="21" fillId="0" borderId="0" xfId="83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>
      <alignment horizontal="left" indent="7"/>
    </xf>
    <xf numFmtId="0" fontId="17" fillId="0" borderId="0" xfId="0" applyFont="1" applyFill="1" applyBorder="1" applyAlignment="1">
      <alignment horizontal="left" indent="7"/>
    </xf>
    <xf numFmtId="0" fontId="4" fillId="0" borderId="0" xfId="0" applyFont="1" applyFill="1" applyBorder="1" applyAlignment="1">
      <alignment horizontal="left" indent="7"/>
    </xf>
    <xf numFmtId="0" fontId="21" fillId="0" borderId="0" xfId="0" applyFont="1" applyFill="1" applyBorder="1" applyAlignment="1">
      <alignment horizontal="left" indent="7"/>
    </xf>
    <xf numFmtId="4" fontId="21" fillId="0" borderId="0" xfId="0" applyNumberFormat="1" applyFont="1" applyFill="1" applyBorder="1" applyAlignment="1">
      <alignment horizontal="left" indent="7"/>
    </xf>
    <xf numFmtId="49" fontId="21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43" fontId="21" fillId="0" borderId="0" xfId="0" applyNumberFormat="1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4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65" fontId="3" fillId="0" borderId="0" xfId="83" applyFont="1" applyFill="1" applyBorder="1" applyAlignment="1">
      <alignment/>
    </xf>
    <xf numFmtId="165" fontId="3" fillId="0" borderId="0" xfId="83" applyFont="1" applyFill="1" applyBorder="1" applyAlignment="1">
      <alignment horizontal="left" vertical="center"/>
    </xf>
    <xf numFmtId="165" fontId="3" fillId="0" borderId="0" xfId="83" applyFont="1" applyFill="1" applyBorder="1" applyAlignment="1">
      <alignment vertical="center"/>
    </xf>
    <xf numFmtId="165" fontId="21" fillId="0" borderId="0" xfId="83" applyFont="1" applyFill="1" applyAlignment="1">
      <alignment/>
    </xf>
    <xf numFmtId="165" fontId="17" fillId="0" borderId="13" xfId="83" applyFont="1" applyFill="1" applyBorder="1" applyAlignment="1">
      <alignment vertical="center"/>
    </xf>
    <xf numFmtId="165" fontId="17" fillId="33" borderId="31" xfId="83" applyFont="1" applyFill="1" applyBorder="1" applyAlignment="1">
      <alignment vertical="center"/>
    </xf>
    <xf numFmtId="165" fontId="21" fillId="0" borderId="35" xfId="83" applyFont="1" applyFill="1" applyBorder="1" applyAlignment="1">
      <alignment vertical="center"/>
    </xf>
    <xf numFmtId="165" fontId="17" fillId="0" borderId="0" xfId="83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indent="6"/>
    </xf>
    <xf numFmtId="177" fontId="21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top"/>
    </xf>
    <xf numFmtId="40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33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 horizontal="left"/>
    </xf>
    <xf numFmtId="14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33" borderId="0" xfId="0" applyFont="1" applyFill="1" applyAlignment="1">
      <alignment/>
    </xf>
    <xf numFmtId="165" fontId="7" fillId="0" borderId="0" xfId="62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2" fillId="33" borderId="0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165" fontId="2" fillId="0" borderId="0" xfId="62" applyFont="1" applyFill="1" applyBorder="1" applyAlignment="1" applyProtection="1">
      <alignment/>
      <protection/>
    </xf>
    <xf numFmtId="165" fontId="9" fillId="0" borderId="14" xfId="62" applyFont="1" applyFill="1" applyBorder="1" applyAlignment="1" applyProtection="1">
      <alignment horizontal="right" vertical="center"/>
      <protection/>
    </xf>
    <xf numFmtId="165" fontId="9" fillId="33" borderId="14" xfId="62" applyFont="1" applyFill="1" applyBorder="1" applyAlignment="1" applyProtection="1">
      <alignment horizontal="center" vertical="center"/>
      <protection/>
    </xf>
    <xf numFmtId="165" fontId="9" fillId="33" borderId="36" xfId="62" applyFont="1" applyFill="1" applyBorder="1" applyAlignment="1" applyProtection="1">
      <alignment horizontal="center" vertical="center"/>
      <protection/>
    </xf>
    <xf numFmtId="165" fontId="9" fillId="0" borderId="0" xfId="62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9" fillId="34" borderId="0" xfId="0" applyFont="1" applyFill="1" applyAlignment="1">
      <alignment vertical="center"/>
    </xf>
    <xf numFmtId="165" fontId="9" fillId="0" borderId="12" xfId="62" applyFont="1" applyFill="1" applyBorder="1" applyAlignment="1" applyProtection="1">
      <alignment horizontal="right" vertical="center"/>
      <protection/>
    </xf>
    <xf numFmtId="165" fontId="9" fillId="33" borderId="12" xfId="62" applyFont="1" applyFill="1" applyBorder="1" applyAlignment="1" applyProtection="1">
      <alignment horizontal="center" vertical="center"/>
      <protection/>
    </xf>
    <xf numFmtId="165" fontId="9" fillId="33" borderId="37" xfId="62" applyFont="1" applyFill="1" applyBorder="1" applyAlignment="1" applyProtection="1">
      <alignment horizontal="center" vertical="center"/>
      <protection/>
    </xf>
    <xf numFmtId="165" fontId="9" fillId="33" borderId="0" xfId="62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65" fontId="0" fillId="0" borderId="12" xfId="62" applyFont="1" applyFill="1" applyBorder="1" applyAlignment="1" applyProtection="1">
      <alignment horizontal="right" vertical="center"/>
      <protection/>
    </xf>
    <xf numFmtId="165" fontId="0" fillId="0" borderId="12" xfId="62" applyFont="1" applyFill="1" applyBorder="1" applyAlignment="1" applyProtection="1">
      <alignment horizontal="center" vertical="center"/>
      <protection/>
    </xf>
    <xf numFmtId="165" fontId="0" fillId="33" borderId="12" xfId="62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9" fillId="0" borderId="12" xfId="62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>
      <alignment horizontal="center" vertical="center"/>
    </xf>
    <xf numFmtId="165" fontId="93" fillId="0" borderId="0" xfId="0" applyNumberFormat="1" applyFont="1" applyFill="1" applyAlignment="1">
      <alignment vertical="center"/>
    </xf>
    <xf numFmtId="165" fontId="9" fillId="0" borderId="37" xfId="62" applyFont="1" applyFill="1" applyBorder="1" applyAlignment="1" applyProtection="1">
      <alignment horizontal="center" vertical="center"/>
      <protection/>
    </xf>
    <xf numFmtId="165" fontId="0" fillId="0" borderId="0" xfId="62" applyFont="1" applyFill="1" applyBorder="1" applyAlignment="1" applyProtection="1">
      <alignment horizontal="center" vertical="center"/>
      <protection/>
    </xf>
    <xf numFmtId="165" fontId="94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65" fontId="0" fillId="0" borderId="37" xfId="62" applyFont="1" applyFill="1" applyBorder="1" applyAlignment="1" applyProtection="1">
      <alignment horizontal="center" vertical="center"/>
      <protection/>
    </xf>
    <xf numFmtId="43" fontId="9" fillId="0" borderId="0" xfId="0" applyNumberFormat="1" applyFont="1" applyFill="1" applyAlignment="1">
      <alignment vertical="center"/>
    </xf>
    <xf numFmtId="165" fontId="9" fillId="0" borderId="11" xfId="62" applyFont="1" applyFill="1" applyBorder="1" applyAlignment="1" applyProtection="1">
      <alignment horizontal="right" vertical="center"/>
      <protection/>
    </xf>
    <xf numFmtId="165" fontId="9" fillId="0" borderId="11" xfId="62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>
      <alignment vertical="center"/>
    </xf>
    <xf numFmtId="165" fontId="0" fillId="0" borderId="11" xfId="62" applyFont="1" applyFill="1" applyBorder="1" applyAlignment="1" applyProtection="1">
      <alignment horizontal="right" vertical="center"/>
      <protection/>
    </xf>
    <xf numFmtId="165" fontId="9" fillId="0" borderId="38" xfId="62" applyFont="1" applyFill="1" applyBorder="1" applyAlignment="1" applyProtection="1">
      <alignment horizontal="right" vertical="center"/>
      <protection/>
    </xf>
    <xf numFmtId="165" fontId="9" fillId="33" borderId="0" xfId="62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4" fillId="0" borderId="19" xfId="62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indent="7"/>
    </xf>
    <xf numFmtId="0" fontId="3" fillId="0" borderId="0" xfId="0" applyFont="1" applyBorder="1" applyAlignment="1">
      <alignment horizontal="left" indent="7"/>
    </xf>
    <xf numFmtId="0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65" fontId="4" fillId="0" borderId="19" xfId="62" applyFont="1" applyFill="1" applyBorder="1" applyAlignment="1" applyProtection="1">
      <alignment horizontal="right" vertical="center" wrapText="1"/>
      <protection/>
    </xf>
    <xf numFmtId="43" fontId="4" fillId="0" borderId="0" xfId="0" applyNumberFormat="1" applyFont="1" applyAlignment="1">
      <alignment/>
    </xf>
    <xf numFmtId="165" fontId="3" fillId="0" borderId="19" xfId="62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>
      <alignment/>
    </xf>
    <xf numFmtId="165" fontId="3" fillId="0" borderId="25" xfId="62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>
      <alignment vertical="center"/>
    </xf>
    <xf numFmtId="43" fontId="3" fillId="0" borderId="0" xfId="0" applyNumberFormat="1" applyFont="1" applyAlignment="1">
      <alignment/>
    </xf>
    <xf numFmtId="165" fontId="4" fillId="0" borderId="25" xfId="62" applyFont="1" applyFill="1" applyBorder="1" applyAlignment="1" applyProtection="1">
      <alignment horizontal="right" vertical="center" wrapText="1"/>
      <protection/>
    </xf>
    <xf numFmtId="165" fontId="4" fillId="0" borderId="25" xfId="62" applyFont="1" applyFill="1" applyBorder="1" applyAlignment="1" applyProtection="1">
      <alignment vertical="center" wrapText="1"/>
      <protection/>
    </xf>
    <xf numFmtId="165" fontId="3" fillId="0" borderId="25" xfId="62" applyFont="1" applyFill="1" applyBorder="1" applyAlignment="1" applyProtection="1">
      <alignment horizontal="right" vertical="center" wrapText="1"/>
      <protection/>
    </xf>
    <xf numFmtId="165" fontId="3" fillId="0" borderId="19" xfId="62" applyFont="1" applyFill="1" applyBorder="1" applyAlignment="1" applyProtection="1">
      <alignment vertical="center" wrapText="1"/>
      <protection/>
    </xf>
    <xf numFmtId="165" fontId="3" fillId="0" borderId="25" xfId="62" applyFont="1" applyFill="1" applyBorder="1" applyAlignment="1" applyProtection="1">
      <alignment vertical="center" wrapText="1"/>
      <protection/>
    </xf>
    <xf numFmtId="165" fontId="4" fillId="0" borderId="19" xfId="62" applyFont="1" applyFill="1" applyBorder="1" applyAlignment="1" applyProtection="1">
      <alignment vertical="center" wrapText="1"/>
      <protection/>
    </xf>
    <xf numFmtId="165" fontId="4" fillId="0" borderId="25" xfId="62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4" fillId="0" borderId="0" xfId="62" applyFont="1" applyFill="1" applyBorder="1" applyAlignment="1" applyProtection="1">
      <alignment horizontal="right" vertical="center"/>
      <protection/>
    </xf>
    <xf numFmtId="165" fontId="4" fillId="0" borderId="0" xfId="62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 horizontal="left" vertical="center"/>
    </xf>
    <xf numFmtId="167" fontId="3" fillId="0" borderId="0" xfId="0" applyNumberFormat="1" applyFont="1" applyFill="1" applyBorder="1" applyAlignment="1">
      <alignment vertical="center"/>
    </xf>
    <xf numFmtId="40" fontId="3" fillId="0" borderId="0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165" fontId="9" fillId="0" borderId="0" xfId="62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 indent="7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165" fontId="3" fillId="0" borderId="16" xfId="83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83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12" fillId="0" borderId="0" xfId="53" applyNumberFormat="1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165" fontId="4" fillId="0" borderId="11" xfId="70" applyFont="1" applyFill="1" applyBorder="1" applyAlignment="1" applyProtection="1">
      <alignment horizontal="right" vertical="center" wrapText="1"/>
      <protection/>
    </xf>
    <xf numFmtId="165" fontId="4" fillId="0" borderId="12" xfId="70" applyFont="1" applyFill="1" applyBorder="1" applyAlignment="1" applyProtection="1">
      <alignment horizontal="right" vertical="center" wrapText="1"/>
      <protection/>
    </xf>
    <xf numFmtId="165" fontId="4" fillId="0" borderId="37" xfId="70" applyFont="1" applyFill="1" applyBorder="1" applyAlignment="1" applyProtection="1">
      <alignment horizontal="right" vertical="center" wrapText="1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165" fontId="4" fillId="0" borderId="22" xfId="70" applyFont="1" applyFill="1" applyBorder="1" applyAlignment="1" applyProtection="1">
      <alignment horizontal="right" vertical="center" wrapText="1"/>
      <protection/>
    </xf>
    <xf numFmtId="165" fontId="3" fillId="0" borderId="11" xfId="70" applyFont="1" applyFill="1" applyBorder="1" applyAlignment="1" applyProtection="1">
      <alignment horizontal="right" vertical="center" wrapText="1"/>
      <protection/>
    </xf>
    <xf numFmtId="165" fontId="3" fillId="0" borderId="37" xfId="71" applyFont="1" applyFill="1" applyBorder="1" applyAlignment="1" applyProtection="1">
      <alignment horizontal="right" vertical="center"/>
      <protection/>
    </xf>
    <xf numFmtId="165" fontId="3" fillId="0" borderId="20" xfId="71" applyFont="1" applyFill="1" applyBorder="1" applyAlignment="1" applyProtection="1">
      <alignment horizontal="right" vertical="center" wrapText="1"/>
      <protection/>
    </xf>
    <xf numFmtId="165" fontId="3" fillId="0" borderId="12" xfId="71" applyFont="1" applyFill="1" applyBorder="1" applyAlignment="1" applyProtection="1">
      <alignment horizontal="right" vertical="center"/>
      <protection/>
    </xf>
    <xf numFmtId="165" fontId="4" fillId="0" borderId="11" xfId="70" applyFont="1" applyFill="1" applyBorder="1" applyAlignment="1" applyProtection="1">
      <alignment horizontal="right" vertical="center"/>
      <protection/>
    </xf>
    <xf numFmtId="165" fontId="3" fillId="0" borderId="11" xfId="70" applyFont="1" applyFill="1" applyBorder="1" applyAlignment="1" applyProtection="1">
      <alignment horizontal="right" vertical="center"/>
      <protection/>
    </xf>
    <xf numFmtId="165" fontId="3" fillId="0" borderId="37" xfId="70" applyFont="1" applyFill="1" applyBorder="1" applyAlignment="1" applyProtection="1">
      <alignment horizontal="right" vertical="center" wrapText="1"/>
      <protection/>
    </xf>
    <xf numFmtId="165" fontId="3" fillId="0" borderId="12" xfId="70" applyFont="1" applyFill="1" applyBorder="1" applyAlignment="1" applyProtection="1">
      <alignment horizontal="right" vertical="center"/>
      <protection/>
    </xf>
    <xf numFmtId="165" fontId="3" fillId="0" borderId="40" xfId="70" applyFont="1" applyFill="1" applyBorder="1" applyAlignment="1" applyProtection="1">
      <alignment horizontal="right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49" fontId="3" fillId="0" borderId="0" xfId="53" applyNumberFormat="1" applyFont="1" applyBorder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49" fontId="3" fillId="0" borderId="0" xfId="53" applyNumberFormat="1" applyFont="1" applyFill="1" applyBorder="1">
      <alignment/>
      <protection/>
    </xf>
    <xf numFmtId="166" fontId="3" fillId="0" borderId="0" xfId="53" applyNumberFormat="1" applyFont="1" applyFill="1" applyBorder="1" applyAlignment="1">
      <alignment horizontal="right" vertical="center"/>
      <protection/>
    </xf>
    <xf numFmtId="43" fontId="3" fillId="0" borderId="0" xfId="53" applyNumberFormat="1" applyFont="1" applyBorder="1" applyAlignment="1">
      <alignment horizontal="center" vertical="center"/>
      <protection/>
    </xf>
    <xf numFmtId="165" fontId="3" fillId="0" borderId="0" xfId="83" applyFont="1" applyAlignment="1">
      <alignment horizontal="center" vertical="center"/>
    </xf>
    <xf numFmtId="43" fontId="3" fillId="0" borderId="0" xfId="53" applyNumberFormat="1" applyFont="1" applyAlignment="1">
      <alignment horizontal="center" vertical="center"/>
      <protection/>
    </xf>
    <xf numFmtId="165" fontId="3" fillId="0" borderId="0" xfId="53" applyNumberFormat="1" applyFont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43" fontId="3" fillId="33" borderId="0" xfId="53" applyNumberFormat="1" applyFont="1" applyFill="1" applyBorder="1" applyAlignment="1">
      <alignment horizontal="center" vertical="center"/>
      <protection/>
    </xf>
    <xf numFmtId="43" fontId="3" fillId="33" borderId="0" xfId="53" applyNumberFormat="1" applyFont="1" applyFill="1" applyAlignment="1">
      <alignment horizontal="center" vertical="center"/>
      <protection/>
    </xf>
    <xf numFmtId="0" fontId="3" fillId="33" borderId="0" xfId="53" applyFont="1" applyFill="1" applyAlignment="1">
      <alignment horizontal="center" vertical="center"/>
      <protection/>
    </xf>
    <xf numFmtId="0" fontId="3" fillId="36" borderId="0" xfId="53" applyFont="1" applyFill="1" applyAlignment="1">
      <alignment horizontal="center" vertical="center"/>
      <protection/>
    </xf>
    <xf numFmtId="165" fontId="3" fillId="33" borderId="0" xfId="83" applyFont="1" applyFill="1" applyBorder="1" applyAlignment="1">
      <alignment horizontal="center" vertical="center"/>
    </xf>
    <xf numFmtId="4" fontId="3" fillId="33" borderId="0" xfId="53" applyNumberFormat="1" applyFont="1" applyFill="1" applyAlignment="1">
      <alignment horizontal="center" vertical="center"/>
      <protection/>
    </xf>
    <xf numFmtId="0" fontId="4" fillId="36" borderId="0" xfId="53" applyFont="1" applyFill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165" fontId="3" fillId="33" borderId="0" xfId="53" applyNumberFormat="1" applyFont="1" applyFill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43" fontId="4" fillId="33" borderId="0" xfId="53" applyNumberFormat="1" applyFont="1" applyFill="1" applyBorder="1" applyAlignment="1">
      <alignment horizontal="center" vertical="center"/>
      <protection/>
    </xf>
    <xf numFmtId="165" fontId="3" fillId="33" borderId="0" xfId="83" applyFont="1" applyFill="1" applyAlignment="1">
      <alignment horizontal="center" vertical="center"/>
    </xf>
    <xf numFmtId="4" fontId="4" fillId="33" borderId="0" xfId="83" applyNumberFormat="1" applyFont="1" applyFill="1" applyBorder="1" applyAlignment="1" applyProtection="1">
      <alignment horizontal="right" vertical="center"/>
      <protection/>
    </xf>
    <xf numFmtId="4" fontId="3" fillId="33" borderId="0" xfId="53" applyNumberFormat="1" applyFont="1" applyFill="1" applyBorder="1" applyAlignment="1">
      <alignment horizontal="center" vertical="center"/>
      <protection/>
    </xf>
    <xf numFmtId="165" fontId="3" fillId="0" borderId="11" xfId="70" applyFont="1" applyFill="1" applyBorder="1" applyAlignment="1" applyProtection="1">
      <alignment horizontal="center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165" fontId="3" fillId="0" borderId="0" xfId="83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2" fontId="0" fillId="0" borderId="0" xfId="55" applyNumberFormat="1" applyFont="1" applyFill="1" applyBorder="1" applyAlignment="1">
      <alignment vertical="top"/>
      <protection/>
    </xf>
    <xf numFmtId="0" fontId="3" fillId="0" borderId="0" xfId="55" applyFont="1" applyFill="1" applyBorder="1" applyAlignment="1">
      <alignment horizontal="left" indent="7"/>
      <protection/>
    </xf>
    <xf numFmtId="0" fontId="3" fillId="0" borderId="0" xfId="55" applyFont="1">
      <alignment/>
      <protection/>
    </xf>
    <xf numFmtId="0" fontId="4" fillId="0" borderId="0" xfId="55" applyFont="1" applyFill="1" applyAlignment="1">
      <alignment/>
      <protection/>
    </xf>
    <xf numFmtId="2" fontId="3" fillId="0" borderId="0" xfId="55" applyNumberFormat="1" applyFont="1" applyFill="1" applyBorder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3" fillId="0" borderId="0" xfId="55" applyFont="1" applyFill="1" applyAlignment="1">
      <alignment/>
      <protection/>
    </xf>
    <xf numFmtId="165" fontId="3" fillId="0" borderId="0" xfId="55" applyNumberFormat="1" applyFont="1" applyFill="1" applyAlignment="1">
      <alignment horizontal="left" indent="7"/>
      <protection/>
    </xf>
    <xf numFmtId="49" fontId="3" fillId="0" borderId="0" xfId="55" applyNumberFormat="1" applyFont="1" applyFill="1" applyAlignment="1">
      <alignment horizontal="left" indent="7"/>
      <protection/>
    </xf>
    <xf numFmtId="49" fontId="3" fillId="0" borderId="0" xfId="55" applyNumberFormat="1" applyFont="1" applyAlignment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55" applyNumberFormat="1" applyFont="1">
      <alignment/>
      <protection/>
    </xf>
    <xf numFmtId="49" fontId="3" fillId="0" borderId="0" xfId="55" applyNumberFormat="1" applyFont="1" applyFill="1" applyBorder="1">
      <alignment/>
      <protection/>
    </xf>
    <xf numFmtId="49" fontId="3" fillId="0" borderId="0" xfId="55" applyNumberFormat="1" applyFont="1" applyFill="1">
      <alignment/>
      <protection/>
    </xf>
    <xf numFmtId="165" fontId="3" fillId="0" borderId="0" xfId="72" applyFont="1" applyFill="1" applyBorder="1" applyAlignment="1" applyProtection="1">
      <alignment/>
      <protection/>
    </xf>
    <xf numFmtId="0" fontId="3" fillId="0" borderId="0" xfId="55" applyFont="1" applyFill="1">
      <alignment/>
      <protection/>
    </xf>
    <xf numFmtId="49" fontId="4" fillId="0" borderId="0" xfId="55" applyNumberFormat="1" applyFont="1" applyFill="1" applyBorder="1">
      <alignment/>
      <protection/>
    </xf>
    <xf numFmtId="4" fontId="3" fillId="0" borderId="0" xfId="55" applyNumberFormat="1" applyFont="1" applyFill="1" applyBorder="1" applyAlignment="1">
      <alignment horizontal="right" vertical="center"/>
      <protection/>
    </xf>
    <xf numFmtId="4" fontId="3" fillId="0" borderId="0" xfId="55" applyNumberFormat="1" applyFont="1" applyFill="1">
      <alignment/>
      <protection/>
    </xf>
    <xf numFmtId="4" fontId="3" fillId="0" borderId="0" xfId="55" applyNumberFormat="1" applyFont="1">
      <alignment/>
      <protection/>
    </xf>
    <xf numFmtId="0" fontId="3" fillId="0" borderId="41" xfId="55" applyFont="1" applyFill="1" applyBorder="1" applyAlignment="1">
      <alignment vertical="top"/>
      <protection/>
    </xf>
    <xf numFmtId="165" fontId="3" fillId="0" borderId="0" xfId="83" applyFont="1" applyFill="1" applyBorder="1" applyAlignment="1">
      <alignment vertical="top"/>
    </xf>
    <xf numFmtId="0" fontId="3" fillId="0" borderId="10" xfId="55" applyFont="1" applyFill="1" applyBorder="1" applyAlignment="1">
      <alignment horizontal="center" vertical="center" wrapText="1"/>
      <protection/>
    </xf>
    <xf numFmtId="165" fontId="3" fillId="0" borderId="10" xfId="72" applyFont="1" applyFill="1" applyBorder="1" applyAlignment="1" applyProtection="1">
      <alignment horizontal="center" vertical="center" wrapText="1"/>
      <protection/>
    </xf>
    <xf numFmtId="165" fontId="4" fillId="0" borderId="10" xfId="72" applyFont="1" applyFill="1" applyBorder="1" applyAlignment="1" applyProtection="1">
      <alignment horizontal="center" vertical="center" wrapText="1"/>
      <protection/>
    </xf>
    <xf numFmtId="4" fontId="4" fillId="0" borderId="42" xfId="55" applyNumberFormat="1" applyFont="1" applyBorder="1" applyAlignment="1">
      <alignment vertical="center"/>
      <protection/>
    </xf>
    <xf numFmtId="165" fontId="3" fillId="0" borderId="38" xfId="62" applyFont="1" applyBorder="1" applyAlignment="1">
      <alignment vertical="center"/>
    </xf>
    <xf numFmtId="165" fontId="3" fillId="0" borderId="19" xfId="72" applyFont="1" applyFill="1" applyBorder="1" applyAlignment="1" applyProtection="1">
      <alignment horizontal="right" vertical="center"/>
      <protection/>
    </xf>
    <xf numFmtId="165" fontId="3" fillId="0" borderId="25" xfId="72" applyFont="1" applyFill="1" applyBorder="1" applyAlignment="1" applyProtection="1">
      <alignment horizontal="right" vertical="center"/>
      <protection/>
    </xf>
    <xf numFmtId="4" fontId="4" fillId="0" borderId="13" xfId="55" applyNumberFormat="1" applyFont="1" applyFill="1" applyBorder="1" applyAlignment="1">
      <alignment horizontal="right" vertical="center"/>
      <protection/>
    </xf>
    <xf numFmtId="4" fontId="4" fillId="0" borderId="19" xfId="55" applyNumberFormat="1" applyFont="1" applyFill="1" applyBorder="1" applyAlignment="1">
      <alignment horizontal="right" vertical="center"/>
      <protection/>
    </xf>
    <xf numFmtId="165" fontId="3" fillId="0" borderId="18" xfId="72" applyFont="1" applyFill="1" applyBorder="1" applyAlignment="1" applyProtection="1">
      <alignment horizontal="right" vertical="center"/>
      <protection/>
    </xf>
    <xf numFmtId="4" fontId="3" fillId="0" borderId="19" xfId="55" applyNumberFormat="1" applyFont="1" applyFill="1" applyBorder="1" applyAlignment="1">
      <alignment horizontal="right" vertical="center"/>
      <protection/>
    </xf>
    <xf numFmtId="4" fontId="3" fillId="0" borderId="42" xfId="55" applyNumberFormat="1" applyFont="1" applyBorder="1" applyAlignment="1">
      <alignment vertical="center"/>
      <protection/>
    </xf>
    <xf numFmtId="43" fontId="3" fillId="0" borderId="10" xfId="83" applyNumberFormat="1" applyFont="1" applyFill="1" applyBorder="1" applyAlignment="1" applyProtection="1">
      <alignment horizontal="center" vertical="center" wrapText="1"/>
      <protection/>
    </xf>
    <xf numFmtId="4" fontId="3" fillId="0" borderId="18" xfId="55" applyNumberFormat="1" applyFont="1" applyFill="1" applyBorder="1" applyAlignment="1">
      <alignment horizontal="right" vertical="center"/>
      <protection/>
    </xf>
    <xf numFmtId="165" fontId="3" fillId="0" borderId="43" xfId="72" applyFont="1" applyFill="1" applyBorder="1" applyAlignment="1" applyProtection="1">
      <alignment horizontal="right" vertical="center"/>
      <protection/>
    </xf>
    <xf numFmtId="4" fontId="3" fillId="0" borderId="44" xfId="55" applyNumberFormat="1" applyFont="1" applyFill="1" applyBorder="1" applyAlignment="1">
      <alignment horizontal="right" vertical="center"/>
      <protection/>
    </xf>
    <xf numFmtId="165" fontId="3" fillId="0" borderId="29" xfId="72" applyFont="1" applyFill="1" applyBorder="1" applyAlignment="1" applyProtection="1">
      <alignment horizontal="center" vertical="center" wrapText="1"/>
      <protection/>
    </xf>
    <xf numFmtId="165" fontId="3" fillId="0" borderId="45" xfId="62" applyFont="1" applyFill="1" applyBorder="1" applyAlignment="1">
      <alignment horizontal="right" vertical="center"/>
    </xf>
    <xf numFmtId="165" fontId="3" fillId="0" borderId="18" xfId="83" applyFont="1" applyFill="1" applyBorder="1" applyAlignment="1" applyProtection="1">
      <alignment horizontal="right" vertical="center"/>
      <protection/>
    </xf>
    <xf numFmtId="165" fontId="3" fillId="0" borderId="43" xfId="83" applyFont="1" applyFill="1" applyBorder="1" applyAlignment="1" applyProtection="1">
      <alignment horizontal="right" vertical="center"/>
      <protection/>
    </xf>
    <xf numFmtId="165" fontId="3" fillId="0" borderId="29" xfId="83" applyFont="1" applyFill="1" applyBorder="1" applyAlignment="1" applyProtection="1">
      <alignment horizontal="center" vertical="center" wrapText="1"/>
      <protection/>
    </xf>
    <xf numFmtId="2" fontId="3" fillId="0" borderId="0" xfId="55" applyNumberFormat="1" applyFont="1" applyFill="1" applyBorder="1" applyAlignment="1">
      <alignment vertical="top"/>
      <protection/>
    </xf>
    <xf numFmtId="165" fontId="3" fillId="0" borderId="0" xfId="72" applyFont="1" applyFill="1" applyBorder="1" applyAlignment="1" applyProtection="1">
      <alignment vertical="center"/>
      <protection/>
    </xf>
    <xf numFmtId="165" fontId="3" fillId="0" borderId="0" xfId="72" applyFont="1" applyFill="1" applyBorder="1" applyAlignment="1" applyProtection="1">
      <alignment horizontal="right" vertical="center"/>
      <protection/>
    </xf>
    <xf numFmtId="165" fontId="3" fillId="0" borderId="0" xfId="72" applyFont="1" applyFill="1" applyBorder="1" applyAlignment="1" applyProtection="1">
      <alignment horizontal="center" vertical="center"/>
      <protection/>
    </xf>
    <xf numFmtId="4" fontId="3" fillId="0" borderId="0" xfId="55" applyNumberFormat="1" applyFont="1" applyFill="1" applyAlignment="1">
      <alignment horizontal="right" vertical="center"/>
      <protection/>
    </xf>
    <xf numFmtId="4" fontId="4" fillId="0" borderId="0" xfId="55" applyNumberFormat="1" applyFont="1" applyFill="1" applyBorder="1" applyAlignment="1">
      <alignment horizontal="right" vertical="center"/>
      <protection/>
    </xf>
    <xf numFmtId="4" fontId="4" fillId="0" borderId="0" xfId="55" applyNumberFormat="1" applyFont="1" applyFill="1" applyBorder="1" applyAlignment="1">
      <alignment horizontal="left" vertical="center"/>
      <protection/>
    </xf>
    <xf numFmtId="4" fontId="4" fillId="0" borderId="0" xfId="55" applyNumberFormat="1" applyFont="1">
      <alignment/>
      <protection/>
    </xf>
    <xf numFmtId="167" fontId="3" fillId="0" borderId="0" xfId="55" applyNumberFormat="1" applyFont="1" applyFill="1" applyAlignment="1">
      <alignment vertical="center"/>
      <protection/>
    </xf>
    <xf numFmtId="167" fontId="3" fillId="0" borderId="0" xfId="55" applyNumberFormat="1" applyFont="1" applyFill="1" applyAlignment="1">
      <alignment horizontal="center" vertical="center"/>
      <protection/>
    </xf>
    <xf numFmtId="4" fontId="3" fillId="0" borderId="0" xfId="55" applyNumberFormat="1" applyFont="1" applyFill="1" applyAlignment="1">
      <alignment vertical="center"/>
      <protection/>
    </xf>
    <xf numFmtId="165" fontId="3" fillId="0" borderId="0" xfId="62" applyFont="1" applyFill="1" applyAlignment="1">
      <alignment horizontal="right"/>
    </xf>
    <xf numFmtId="165" fontId="4" fillId="0" borderId="0" xfId="55" applyNumberFormat="1" applyFont="1" applyFill="1" applyAlignment="1">
      <alignment horizontal="center" vertical="center"/>
      <protection/>
    </xf>
    <xf numFmtId="4" fontId="3" fillId="0" borderId="0" xfId="55" applyNumberFormat="1" applyFont="1" applyFill="1" applyAlignment="1">
      <alignment horizontal="center" vertical="center"/>
      <protection/>
    </xf>
    <xf numFmtId="4" fontId="4" fillId="0" borderId="0" xfId="55" applyNumberFormat="1" applyFont="1" applyFill="1" applyAlignment="1">
      <alignment horizontal="left" vertical="center"/>
      <protection/>
    </xf>
    <xf numFmtId="43" fontId="4" fillId="0" borderId="0" xfId="55" applyNumberFormat="1" applyFont="1" applyAlignment="1">
      <alignment horizontal="right"/>
      <protection/>
    </xf>
    <xf numFmtId="4" fontId="3" fillId="0" borderId="0" xfId="0" applyNumberFormat="1" applyFont="1" applyBorder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43" fontId="3" fillId="0" borderId="0" xfId="55" applyNumberFormat="1" applyFont="1" applyFill="1">
      <alignment/>
      <protection/>
    </xf>
    <xf numFmtId="0" fontId="3" fillId="0" borderId="0" xfId="55" applyFont="1" applyFill="1" applyAlignment="1">
      <alignment horizontal="right"/>
      <protection/>
    </xf>
    <xf numFmtId="165" fontId="3" fillId="0" borderId="0" xfId="62" applyFont="1" applyFill="1" applyAlignment="1">
      <alignment/>
    </xf>
    <xf numFmtId="43" fontId="95" fillId="0" borderId="0" xfId="55" applyNumberFormat="1" applyFont="1" applyFill="1">
      <alignment/>
      <protection/>
    </xf>
    <xf numFmtId="0" fontId="3" fillId="0" borderId="0" xfId="55" applyNumberFormat="1" applyFont="1" applyFill="1" applyBorder="1">
      <alignment/>
      <protection/>
    </xf>
    <xf numFmtId="0" fontId="3" fillId="0" borderId="0" xfId="55" applyFont="1" applyBorder="1">
      <alignment/>
      <protection/>
    </xf>
    <xf numFmtId="165" fontId="3" fillId="0" borderId="0" xfId="83" applyFont="1" applyBorder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43" fontId="3" fillId="0" borderId="38" xfId="0" applyNumberFormat="1" applyFont="1" applyFill="1" applyBorder="1" applyAlignment="1">
      <alignment vertical="center"/>
    </xf>
    <xf numFmtId="165" fontId="3" fillId="0" borderId="0" xfId="62" applyFont="1" applyFill="1" applyAlignment="1">
      <alignment horizontal="center"/>
    </xf>
    <xf numFmtId="0" fontId="3" fillId="0" borderId="0" xfId="50" applyFont="1">
      <alignment/>
      <protection/>
    </xf>
    <xf numFmtId="0" fontId="4" fillId="0" borderId="0" xfId="0" applyFont="1" applyAlignment="1">
      <alignment vertical="center"/>
    </xf>
    <xf numFmtId="0" fontId="3" fillId="0" borderId="0" xfId="50" applyFont="1" applyBorder="1">
      <alignment/>
      <protection/>
    </xf>
    <xf numFmtId="0" fontId="96" fillId="0" borderId="0" xfId="50" applyFont="1" applyAlignment="1">
      <alignment horizontal="center" readingOrder="1"/>
      <protection/>
    </xf>
    <xf numFmtId="0" fontId="97" fillId="0" borderId="0" xfId="50" applyFont="1" applyAlignment="1">
      <alignment horizontal="center" readingOrder="1"/>
      <protection/>
    </xf>
    <xf numFmtId="0" fontId="3" fillId="0" borderId="0" xfId="56" applyFont="1" applyFill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0" xfId="56" applyFont="1" applyFill="1" applyAlignment="1">
      <alignment/>
      <protection/>
    </xf>
    <xf numFmtId="49" fontId="3" fillId="0" borderId="0" xfId="56" applyNumberFormat="1" applyFont="1" applyFill="1" applyAlignment="1">
      <alignment horizontal="left" indent="7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/>
      <protection/>
    </xf>
    <xf numFmtId="170" fontId="3" fillId="0" borderId="0" xfId="56" applyNumberFormat="1" applyFont="1" applyFill="1" applyAlignment="1">
      <alignment horizontal="right"/>
      <protection/>
    </xf>
    <xf numFmtId="170" fontId="3" fillId="0" borderId="0" xfId="56" applyNumberFormat="1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0" borderId="0" xfId="54" applyFont="1" applyFill="1" applyAlignment="1">
      <alignment horizontal="left"/>
      <protection/>
    </xf>
    <xf numFmtId="49" fontId="3" fillId="0" borderId="0" xfId="54" applyNumberFormat="1" applyFont="1" applyBorder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30" xfId="54" applyFont="1" applyFill="1" applyBorder="1" applyAlignment="1">
      <alignment horizontal="left" vertical="center"/>
      <protection/>
    </xf>
    <xf numFmtId="0" fontId="3" fillId="0" borderId="30" xfId="54" applyFont="1" applyFill="1" applyBorder="1" applyAlignment="1">
      <alignment horizontal="center" vertical="center"/>
      <protection/>
    </xf>
    <xf numFmtId="49" fontId="3" fillId="0" borderId="30" xfId="54" applyNumberFormat="1" applyFont="1" applyFill="1" applyBorder="1">
      <alignment/>
      <protection/>
    </xf>
    <xf numFmtId="166" fontId="3" fillId="0" borderId="30" xfId="54" applyNumberFormat="1" applyFont="1" applyFill="1" applyBorder="1" applyAlignment="1">
      <alignment horizontal="right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3" fillId="0" borderId="45" xfId="54" applyFont="1" applyFill="1" applyBorder="1" applyAlignment="1">
      <alignment horizontal="center" vertical="center"/>
      <protection/>
    </xf>
    <xf numFmtId="0" fontId="3" fillId="0" borderId="42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165" fontId="3" fillId="0" borderId="29" xfId="71" applyFont="1" applyFill="1" applyBorder="1" applyAlignment="1" applyProtection="1">
      <alignment horizontal="right" vertical="center" wrapText="1"/>
      <protection/>
    </xf>
    <xf numFmtId="165" fontId="3" fillId="0" borderId="46" xfId="71" applyFont="1" applyFill="1" applyBorder="1" applyAlignment="1" applyProtection="1">
      <alignment horizontal="right" vertical="center"/>
      <protection/>
    </xf>
    <xf numFmtId="0" fontId="3" fillId="0" borderId="47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165" fontId="3" fillId="0" borderId="49" xfId="71" applyFont="1" applyFill="1" applyBorder="1" applyAlignment="1" applyProtection="1">
      <alignment horizontal="right" vertical="center" wrapText="1"/>
      <protection/>
    </xf>
    <xf numFmtId="165" fontId="3" fillId="0" borderId="50" xfId="71" applyFont="1" applyFill="1" applyBorder="1" applyAlignment="1" applyProtection="1">
      <alignment horizontal="right" vertical="center"/>
      <protection/>
    </xf>
    <xf numFmtId="0" fontId="3" fillId="0" borderId="38" xfId="54" applyFont="1" applyBorder="1" applyAlignment="1">
      <alignment horizontal="center" vertical="center"/>
      <protection/>
    </xf>
    <xf numFmtId="43" fontId="3" fillId="0" borderId="45" xfId="54" applyNumberFormat="1" applyFont="1" applyBorder="1" applyAlignment="1">
      <alignment horizontal="center" vertical="center"/>
      <protection/>
    </xf>
    <xf numFmtId="165" fontId="4" fillId="0" borderId="49" xfId="71" applyFont="1" applyFill="1" applyBorder="1" applyAlignment="1" applyProtection="1">
      <alignment horizontal="right" vertical="center" wrapText="1"/>
      <protection/>
    </xf>
    <xf numFmtId="165" fontId="4" fillId="0" borderId="51" xfId="71" applyFont="1" applyFill="1" applyBorder="1" applyAlignment="1" applyProtection="1">
      <alignment horizontal="right" vertical="center" wrapText="1"/>
      <protection/>
    </xf>
    <xf numFmtId="165" fontId="4" fillId="0" borderId="50" xfId="71" applyFont="1" applyFill="1" applyBorder="1" applyAlignment="1" applyProtection="1">
      <alignment horizontal="right" vertical="center" wrapText="1"/>
      <protection/>
    </xf>
    <xf numFmtId="165" fontId="4" fillId="0" borderId="49" xfId="71" applyFont="1" applyFill="1" applyBorder="1" applyAlignment="1" applyProtection="1">
      <alignment horizontal="right" vertical="center"/>
      <protection/>
    </xf>
    <xf numFmtId="165" fontId="4" fillId="0" borderId="51" xfId="71" applyFont="1" applyFill="1" applyBorder="1" applyAlignment="1" applyProtection="1">
      <alignment horizontal="right" vertical="center"/>
      <protection/>
    </xf>
    <xf numFmtId="165" fontId="4" fillId="0" borderId="50" xfId="7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7" fontId="3" fillId="0" borderId="0" xfId="0" applyNumberFormat="1" applyFont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5" fontId="3" fillId="0" borderId="19" xfId="83" applyFont="1" applyFill="1" applyBorder="1" applyAlignment="1" applyProtection="1">
      <alignment horizontal="left" vertical="center"/>
      <protection/>
    </xf>
    <xf numFmtId="165" fontId="3" fillId="0" borderId="18" xfId="83" applyFont="1" applyFill="1" applyBorder="1" applyAlignment="1" applyProtection="1">
      <alignment horizontal="center" vertical="center"/>
      <protection/>
    </xf>
    <xf numFmtId="165" fontId="3" fillId="0" borderId="10" xfId="83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165" fontId="4" fillId="0" borderId="16" xfId="83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>
      <alignment/>
    </xf>
    <xf numFmtId="0" fontId="3" fillId="33" borderId="3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165" fontId="3" fillId="0" borderId="23" xfId="83" applyFont="1" applyFill="1" applyBorder="1" applyAlignment="1" applyProtection="1">
      <alignment horizontal="center" vertical="center"/>
      <protection/>
    </xf>
    <xf numFmtId="37" fontId="3" fillId="33" borderId="1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37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37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4" fontId="3" fillId="33" borderId="54" xfId="0" applyNumberFormat="1" applyFont="1" applyFill="1" applyBorder="1" applyAlignment="1">
      <alignment horizontal="center" vertical="center" wrapText="1"/>
    </xf>
    <xf numFmtId="9" fontId="3" fillId="0" borderId="4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4"/>
    </xf>
    <xf numFmtId="165" fontId="24" fillId="0" borderId="0" xfId="83" applyFont="1" applyFill="1" applyBorder="1" applyAlignment="1" applyProtection="1">
      <alignment horizontal="center"/>
      <protection/>
    </xf>
    <xf numFmtId="165" fontId="17" fillId="0" borderId="54" xfId="83" applyFont="1" applyFill="1" applyBorder="1" applyAlignment="1" applyProtection="1">
      <alignment horizontal="right" vertical="center"/>
      <protection/>
    </xf>
    <xf numFmtId="165" fontId="17" fillId="0" borderId="44" xfId="83" applyFont="1" applyFill="1" applyBorder="1" applyAlignment="1" applyProtection="1">
      <alignment horizontal="left" vertical="center"/>
      <protection/>
    </xf>
    <xf numFmtId="40" fontId="21" fillId="0" borderId="0" xfId="0" applyNumberFormat="1" applyFont="1" applyFill="1" applyBorder="1" applyAlignment="1">
      <alignment horizontal="left" vertical="center"/>
    </xf>
    <xf numFmtId="40" fontId="17" fillId="0" borderId="0" xfId="0" applyNumberFormat="1" applyFont="1" applyFill="1" applyBorder="1" applyAlignment="1">
      <alignment horizontal="left" vertical="center"/>
    </xf>
    <xf numFmtId="4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0" fontId="17" fillId="0" borderId="0" xfId="0" applyNumberFormat="1" applyFont="1" applyFill="1" applyAlignment="1">
      <alignment/>
    </xf>
    <xf numFmtId="40" fontId="21" fillId="0" borderId="0" xfId="0" applyNumberFormat="1" applyFont="1" applyFill="1" applyBorder="1" applyAlignment="1">
      <alignment horizontal="left" vertical="center" indent="3"/>
    </xf>
    <xf numFmtId="0" fontId="21" fillId="0" borderId="0" xfId="0" applyFont="1" applyFill="1" applyAlignment="1">
      <alignment horizontal="left" vertical="center"/>
    </xf>
    <xf numFmtId="167" fontId="21" fillId="0" borderId="0" xfId="0" applyNumberFormat="1" applyFont="1" applyFill="1" applyAlignment="1">
      <alignment vertical="center"/>
    </xf>
    <xf numFmtId="165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177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0" fontId="17" fillId="0" borderId="19" xfId="0" applyNumberFormat="1" applyFont="1" applyFill="1" applyBorder="1" applyAlignment="1">
      <alignment horizontal="right" vertical="center"/>
    </xf>
    <xf numFmtId="40" fontId="17" fillId="0" borderId="14" xfId="0" applyNumberFormat="1" applyFont="1" applyFill="1" applyBorder="1" applyAlignment="1">
      <alignment horizontal="right" vertical="center"/>
    </xf>
    <xf numFmtId="40" fontId="17" fillId="0" borderId="56" xfId="0" applyNumberFormat="1" applyFont="1" applyFill="1" applyBorder="1" applyAlignment="1">
      <alignment horizontal="right" vertical="center"/>
    </xf>
    <xf numFmtId="40" fontId="17" fillId="0" borderId="18" xfId="0" applyNumberFormat="1" applyFont="1" applyFill="1" applyBorder="1" applyAlignment="1">
      <alignment horizontal="right" vertical="center"/>
    </xf>
    <xf numFmtId="40" fontId="17" fillId="0" borderId="13" xfId="0" applyNumberFormat="1" applyFont="1" applyFill="1" applyBorder="1" applyAlignment="1">
      <alignment vertical="center"/>
    </xf>
    <xf numFmtId="40" fontId="17" fillId="0" borderId="14" xfId="0" applyNumberFormat="1" applyFont="1" applyFill="1" applyBorder="1" applyAlignment="1">
      <alignment vertical="center"/>
    </xf>
    <xf numFmtId="40" fontId="17" fillId="0" borderId="21" xfId="0" applyNumberFormat="1" applyFont="1" applyFill="1" applyBorder="1" applyAlignment="1">
      <alignment horizontal="right" vertical="center"/>
    </xf>
    <xf numFmtId="40" fontId="17" fillId="0" borderId="55" xfId="0" applyNumberFormat="1" applyFont="1" applyFill="1" applyBorder="1" applyAlignment="1">
      <alignment vertical="center"/>
    </xf>
    <xf numFmtId="40" fontId="17" fillId="0" borderId="36" xfId="0" applyNumberFormat="1" applyFont="1" applyFill="1" applyBorder="1" applyAlignment="1">
      <alignment vertical="center"/>
    </xf>
    <xf numFmtId="40" fontId="21" fillId="0" borderId="11" xfId="0" applyNumberFormat="1" applyFont="1" applyFill="1" applyBorder="1" applyAlignment="1">
      <alignment vertical="center"/>
    </xf>
    <xf numFmtId="40" fontId="21" fillId="33" borderId="12" xfId="0" applyNumberFormat="1" applyFont="1" applyFill="1" applyBorder="1" applyAlignment="1">
      <alignment vertical="center"/>
    </xf>
    <xf numFmtId="40" fontId="21" fillId="33" borderId="20" xfId="0" applyNumberFormat="1" applyFont="1" applyFill="1" applyBorder="1" applyAlignment="1">
      <alignment vertical="center"/>
    </xf>
    <xf numFmtId="40" fontId="21" fillId="33" borderId="16" xfId="0" applyNumberFormat="1" applyFont="1" applyFill="1" applyBorder="1" applyAlignment="1">
      <alignment vertical="center"/>
    </xf>
    <xf numFmtId="40" fontId="21" fillId="0" borderId="12" xfId="0" applyNumberFormat="1" applyFont="1" applyFill="1" applyBorder="1" applyAlignment="1">
      <alignment vertical="center"/>
    </xf>
    <xf numFmtId="40" fontId="21" fillId="33" borderId="0" xfId="0" applyNumberFormat="1" applyFont="1" applyFill="1" applyBorder="1" applyAlignment="1">
      <alignment vertical="center"/>
    </xf>
    <xf numFmtId="165" fontId="21" fillId="0" borderId="37" xfId="83" applyFont="1" applyFill="1" applyBorder="1" applyAlignment="1" applyProtection="1">
      <alignment horizontal="center" vertical="center"/>
      <protection/>
    </xf>
    <xf numFmtId="40" fontId="21" fillId="0" borderId="41" xfId="0" applyNumberFormat="1" applyFont="1" applyFill="1" applyBorder="1" applyAlignment="1">
      <alignment horizontal="left" vertical="center"/>
    </xf>
    <xf numFmtId="40" fontId="21" fillId="0" borderId="10" xfId="0" applyNumberFormat="1" applyFont="1" applyFill="1" applyBorder="1" applyAlignment="1">
      <alignment vertical="center"/>
    </xf>
    <xf numFmtId="40" fontId="21" fillId="33" borderId="17" xfId="0" applyNumberFormat="1" applyFont="1" applyFill="1" applyBorder="1" applyAlignment="1">
      <alignment vertical="center"/>
    </xf>
    <xf numFmtId="40" fontId="21" fillId="0" borderId="15" xfId="0" applyNumberFormat="1" applyFont="1" applyFill="1" applyBorder="1" applyAlignment="1">
      <alignment vertical="center"/>
    </xf>
    <xf numFmtId="40" fontId="17" fillId="0" borderId="21" xfId="0" applyNumberFormat="1" applyFont="1" applyFill="1" applyBorder="1" applyAlignment="1">
      <alignment vertical="center"/>
    </xf>
    <xf numFmtId="40" fontId="17" fillId="0" borderId="57" xfId="0" applyNumberFormat="1" applyFont="1" applyFill="1" applyBorder="1" applyAlignment="1">
      <alignment vertical="center"/>
    </xf>
    <xf numFmtId="40" fontId="17" fillId="0" borderId="12" xfId="0" applyNumberFormat="1" applyFont="1" applyFill="1" applyBorder="1" applyAlignment="1">
      <alignment vertical="center"/>
    </xf>
    <xf numFmtId="40" fontId="21" fillId="0" borderId="20" xfId="0" applyNumberFormat="1" applyFont="1" applyFill="1" applyBorder="1" applyAlignment="1">
      <alignment vertical="center"/>
    </xf>
    <xf numFmtId="40" fontId="21" fillId="33" borderId="35" xfId="0" applyNumberFormat="1" applyFont="1" applyFill="1" applyBorder="1" applyAlignment="1">
      <alignment vertical="center"/>
    </xf>
    <xf numFmtId="40" fontId="21" fillId="33" borderId="23" xfId="0" applyNumberFormat="1" applyFont="1" applyFill="1" applyBorder="1" applyAlignment="1">
      <alignment vertical="center"/>
    </xf>
    <xf numFmtId="40" fontId="21" fillId="0" borderId="26" xfId="0" applyNumberFormat="1" applyFont="1" applyFill="1" applyBorder="1" applyAlignment="1">
      <alignment vertical="center"/>
    </xf>
    <xf numFmtId="40" fontId="17" fillId="0" borderId="20" xfId="0" applyNumberFormat="1" applyFont="1" applyFill="1" applyBorder="1" applyAlignment="1">
      <alignment vertical="center"/>
    </xf>
    <xf numFmtId="40" fontId="21" fillId="0" borderId="16" xfId="0" applyNumberFormat="1" applyFont="1" applyFill="1" applyBorder="1" applyAlignment="1">
      <alignment vertical="center"/>
    </xf>
    <xf numFmtId="40" fontId="98" fillId="0" borderId="11" xfId="0" applyNumberFormat="1" applyFont="1" applyFill="1" applyBorder="1" applyAlignment="1">
      <alignment vertical="center"/>
    </xf>
    <xf numFmtId="40" fontId="98" fillId="0" borderId="0" xfId="0" applyNumberFormat="1" applyFont="1" applyFill="1" applyBorder="1" applyAlignment="1">
      <alignment vertical="center"/>
    </xf>
    <xf numFmtId="40" fontId="21" fillId="33" borderId="58" xfId="0" applyNumberFormat="1" applyFont="1" applyFill="1" applyBorder="1" applyAlignment="1">
      <alignment vertical="center"/>
    </xf>
    <xf numFmtId="40" fontId="98" fillId="0" borderId="0" xfId="0" applyNumberFormat="1" applyFont="1" applyFill="1" applyAlignment="1">
      <alignment/>
    </xf>
    <xf numFmtId="0" fontId="98" fillId="0" borderId="0" xfId="0" applyFont="1" applyFill="1" applyAlignment="1">
      <alignment/>
    </xf>
    <xf numFmtId="0" fontId="98" fillId="0" borderId="0" xfId="0" applyFont="1" applyAlignment="1">
      <alignment/>
    </xf>
    <xf numFmtId="40" fontId="21" fillId="0" borderId="35" xfId="0" applyNumberFormat="1" applyFont="1" applyFill="1" applyBorder="1" applyAlignment="1">
      <alignment vertical="center"/>
    </xf>
    <xf numFmtId="40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0" fontId="17" fillId="0" borderId="11" xfId="0" applyNumberFormat="1" applyFont="1" applyFill="1" applyBorder="1" applyAlignment="1">
      <alignment vertical="center"/>
    </xf>
    <xf numFmtId="40" fontId="17" fillId="33" borderId="33" xfId="0" applyNumberFormat="1" applyFont="1" applyFill="1" applyBorder="1" applyAlignment="1">
      <alignment vertical="center"/>
    </xf>
    <xf numFmtId="40" fontId="17" fillId="33" borderId="21" xfId="0" applyNumberFormat="1" applyFont="1" applyFill="1" applyBorder="1" applyAlignment="1">
      <alignment vertical="center"/>
    </xf>
    <xf numFmtId="40" fontId="17" fillId="33" borderId="59" xfId="0" applyNumberFormat="1" applyFont="1" applyFill="1" applyBorder="1" applyAlignment="1">
      <alignment vertical="center"/>
    </xf>
    <xf numFmtId="40" fontId="17" fillId="0" borderId="59" xfId="0" applyNumberFormat="1" applyFont="1" applyFill="1" applyBorder="1" applyAlignment="1">
      <alignment vertical="center"/>
    </xf>
    <xf numFmtId="40" fontId="17" fillId="0" borderId="37" xfId="0" applyNumberFormat="1" applyFont="1" applyFill="1" applyBorder="1" applyAlignment="1">
      <alignment vertical="center"/>
    </xf>
    <xf numFmtId="40" fontId="21" fillId="0" borderId="22" xfId="0" applyNumberFormat="1" applyFont="1" applyFill="1" applyBorder="1" applyAlignment="1">
      <alignment vertical="center"/>
    </xf>
    <xf numFmtId="40" fontId="21" fillId="33" borderId="60" xfId="0" applyNumberFormat="1" applyFont="1" applyFill="1" applyBorder="1" applyAlignment="1">
      <alignment vertical="center"/>
    </xf>
    <xf numFmtId="40" fontId="21" fillId="0" borderId="61" xfId="0" applyNumberFormat="1" applyFont="1" applyFill="1" applyBorder="1" applyAlignment="1">
      <alignment vertical="center"/>
    </xf>
    <xf numFmtId="40" fontId="17" fillId="33" borderId="31" xfId="0" applyNumberFormat="1" applyFont="1" applyFill="1" applyBorder="1" applyAlignment="1">
      <alignment vertical="center"/>
    </xf>
    <xf numFmtId="40" fontId="17" fillId="33" borderId="12" xfId="0" applyNumberFormat="1" applyFont="1" applyFill="1" applyBorder="1" applyAlignment="1">
      <alignment vertical="center"/>
    </xf>
    <xf numFmtId="40" fontId="17" fillId="33" borderId="20" xfId="0" applyNumberFormat="1" applyFont="1" applyFill="1" applyBorder="1" applyAlignment="1">
      <alignment vertical="center"/>
    </xf>
    <xf numFmtId="40" fontId="21" fillId="0" borderId="17" xfId="0" applyNumberFormat="1" applyFont="1" applyFill="1" applyBorder="1" applyAlignment="1">
      <alignment horizontal="left" vertical="center"/>
    </xf>
    <xf numFmtId="40" fontId="21" fillId="0" borderId="29" xfId="0" applyNumberFormat="1" applyFont="1" applyFill="1" applyBorder="1" applyAlignment="1">
      <alignment vertical="center"/>
    </xf>
    <xf numFmtId="40" fontId="17" fillId="0" borderId="16" xfId="0" applyNumberFormat="1" applyFont="1" applyFill="1" applyBorder="1" applyAlignment="1">
      <alignment horizontal="left" vertical="center"/>
    </xf>
    <xf numFmtId="39" fontId="17" fillId="33" borderId="62" xfId="0" applyNumberFormat="1" applyFont="1" applyFill="1" applyBorder="1" applyAlignment="1">
      <alignment vertical="center"/>
    </xf>
    <xf numFmtId="40" fontId="17" fillId="33" borderId="22" xfId="0" applyNumberFormat="1" applyFont="1" applyFill="1" applyBorder="1" applyAlignment="1">
      <alignment vertical="center"/>
    </xf>
    <xf numFmtId="40" fontId="98" fillId="0" borderId="12" xfId="0" applyNumberFormat="1" applyFont="1" applyFill="1" applyBorder="1" applyAlignment="1">
      <alignment vertical="center"/>
    </xf>
    <xf numFmtId="40" fontId="21" fillId="0" borderId="16" xfId="0" applyNumberFormat="1" applyFont="1" applyFill="1" applyBorder="1" applyAlignment="1">
      <alignment horizontal="left" vertical="center"/>
    </xf>
    <xf numFmtId="40" fontId="17" fillId="33" borderId="14" xfId="0" applyNumberFormat="1" applyFont="1" applyFill="1" applyBorder="1" applyAlignment="1">
      <alignment vertical="center"/>
    </xf>
    <xf numFmtId="40" fontId="17" fillId="33" borderId="63" xfId="0" applyNumberFormat="1" applyFont="1" applyFill="1" applyBorder="1" applyAlignment="1">
      <alignment vertical="center"/>
    </xf>
    <xf numFmtId="40" fontId="17" fillId="33" borderId="64" xfId="0" applyNumberFormat="1" applyFont="1" applyFill="1" applyBorder="1" applyAlignment="1">
      <alignment vertical="center"/>
    </xf>
    <xf numFmtId="40" fontId="17" fillId="33" borderId="57" xfId="0" applyNumberFormat="1" applyFont="1" applyFill="1" applyBorder="1" applyAlignment="1">
      <alignment vertical="center"/>
    </xf>
    <xf numFmtId="40" fontId="17" fillId="0" borderId="13" xfId="83" applyNumberFormat="1" applyFont="1" applyFill="1" applyBorder="1" applyAlignment="1" applyProtection="1">
      <alignment horizontal="right" vertical="center"/>
      <protection/>
    </xf>
    <xf numFmtId="40" fontId="17" fillId="0" borderId="34" xfId="83" applyNumberFormat="1" applyFont="1" applyFill="1" applyBorder="1" applyAlignment="1" applyProtection="1">
      <alignment horizontal="right" vertical="center"/>
      <protection/>
    </xf>
    <xf numFmtId="40" fontId="17" fillId="33" borderId="65" xfId="83" applyNumberFormat="1" applyFont="1" applyFill="1" applyBorder="1" applyAlignment="1" applyProtection="1">
      <alignment horizontal="right" vertical="center"/>
      <protection/>
    </xf>
    <xf numFmtId="40" fontId="17" fillId="33" borderId="32" xfId="83" applyNumberFormat="1" applyFont="1" applyFill="1" applyBorder="1" applyAlignment="1" applyProtection="1">
      <alignment horizontal="right" vertical="center"/>
      <protection/>
    </xf>
    <xf numFmtId="40" fontId="17" fillId="33" borderId="21" xfId="83" applyNumberFormat="1" applyFont="1" applyFill="1" applyBorder="1" applyAlignment="1" applyProtection="1">
      <alignment horizontal="right" vertical="center"/>
      <protection/>
    </xf>
    <xf numFmtId="40" fontId="17" fillId="0" borderId="59" xfId="83" applyNumberFormat="1" applyFont="1" applyFill="1" applyBorder="1" applyAlignment="1" applyProtection="1">
      <alignment horizontal="right" vertical="center"/>
      <protection/>
    </xf>
    <xf numFmtId="40" fontId="21" fillId="0" borderId="11" xfId="83" applyNumberFormat="1" applyFont="1" applyFill="1" applyBorder="1" applyAlignment="1" applyProtection="1">
      <alignment horizontal="right" vertical="center"/>
      <protection/>
    </xf>
    <xf numFmtId="40" fontId="21" fillId="0" borderId="0" xfId="83" applyNumberFormat="1" applyFont="1" applyFill="1" applyBorder="1" applyAlignment="1" applyProtection="1">
      <alignment horizontal="right" vertical="center"/>
      <protection/>
    </xf>
    <xf numFmtId="40" fontId="21" fillId="33" borderId="58" xfId="83" applyNumberFormat="1" applyFont="1" applyFill="1" applyBorder="1" applyAlignment="1" applyProtection="1">
      <alignment horizontal="right" vertical="center"/>
      <protection/>
    </xf>
    <xf numFmtId="40" fontId="21" fillId="0" borderId="22" xfId="83" applyNumberFormat="1" applyFont="1" applyFill="1" applyBorder="1" applyAlignment="1" applyProtection="1">
      <alignment horizontal="right" vertical="center"/>
      <protection/>
    </xf>
    <xf numFmtId="40" fontId="21" fillId="0" borderId="41" xfId="0" applyNumberFormat="1" applyFont="1" applyFill="1" applyBorder="1" applyAlignment="1">
      <alignment vertical="center"/>
    </xf>
    <xf numFmtId="40" fontId="17" fillId="33" borderId="52" xfId="0" applyNumberFormat="1" applyFont="1" applyFill="1" applyBorder="1" applyAlignment="1">
      <alignment vertical="center"/>
    </xf>
    <xf numFmtId="40" fontId="17" fillId="0" borderId="66" xfId="0" applyNumberFormat="1" applyFont="1" applyFill="1" applyBorder="1" applyAlignment="1">
      <alignment vertical="center"/>
    </xf>
    <xf numFmtId="40" fontId="21" fillId="0" borderId="67" xfId="0" applyNumberFormat="1" applyFont="1" applyFill="1" applyBorder="1" applyAlignment="1">
      <alignment horizontal="left" vertical="center"/>
    </xf>
    <xf numFmtId="40" fontId="17" fillId="0" borderId="11" xfId="83" applyNumberFormat="1" applyFont="1" applyFill="1" applyBorder="1" applyAlignment="1" applyProtection="1">
      <alignment horizontal="right" vertical="center"/>
      <protection/>
    </xf>
    <xf numFmtId="40" fontId="17" fillId="0" borderId="12" xfId="83" applyNumberFormat="1" applyFont="1" applyFill="1" applyBorder="1" applyAlignment="1" applyProtection="1">
      <alignment horizontal="right" vertical="center"/>
      <protection/>
    </xf>
    <xf numFmtId="40" fontId="17" fillId="0" borderId="16" xfId="83" applyNumberFormat="1" applyFont="1" applyFill="1" applyBorder="1" applyAlignment="1" applyProtection="1">
      <alignment horizontal="right" vertical="center"/>
      <protection/>
    </xf>
    <xf numFmtId="40" fontId="17" fillId="0" borderId="37" xfId="83" applyNumberFormat="1" applyFont="1" applyFill="1" applyBorder="1" applyAlignment="1" applyProtection="1">
      <alignment horizontal="right" vertical="center"/>
      <protection/>
    </xf>
    <xf numFmtId="40" fontId="17" fillId="33" borderId="33" xfId="83" applyNumberFormat="1" applyFont="1" applyFill="1" applyBorder="1" applyAlignment="1" applyProtection="1">
      <alignment horizontal="right" vertical="center"/>
      <protection/>
    </xf>
    <xf numFmtId="40" fontId="17" fillId="33" borderId="31" xfId="83" applyNumberFormat="1" applyFont="1" applyFill="1" applyBorder="1" applyAlignment="1" applyProtection="1">
      <alignment horizontal="right" vertical="center"/>
      <protection/>
    </xf>
    <xf numFmtId="40" fontId="17" fillId="0" borderId="0" xfId="83" applyNumberFormat="1" applyFont="1" applyFill="1" applyBorder="1" applyAlignment="1" applyProtection="1">
      <alignment horizontal="right" vertical="center"/>
      <protection/>
    </xf>
    <xf numFmtId="40" fontId="17" fillId="0" borderId="52" xfId="83" applyNumberFormat="1" applyFont="1" applyFill="1" applyBorder="1" applyAlignment="1" applyProtection="1">
      <alignment horizontal="right" vertical="center"/>
      <protection/>
    </xf>
    <xf numFmtId="40" fontId="17" fillId="0" borderId="21" xfId="83" applyNumberFormat="1" applyFont="1" applyFill="1" applyBorder="1" applyAlignment="1" applyProtection="1">
      <alignment horizontal="right" vertical="center"/>
      <protection/>
    </xf>
    <xf numFmtId="40" fontId="17" fillId="0" borderId="57" xfId="83" applyNumberFormat="1" applyFont="1" applyFill="1" applyBorder="1" applyAlignment="1" applyProtection="1">
      <alignment horizontal="right" vertical="center"/>
      <protection/>
    </xf>
    <xf numFmtId="40" fontId="17" fillId="0" borderId="12" xfId="83" applyNumberFormat="1" applyFont="1" applyFill="1" applyBorder="1" applyAlignment="1" applyProtection="1">
      <alignment vertical="center"/>
      <protection/>
    </xf>
    <xf numFmtId="165" fontId="21" fillId="0" borderId="46" xfId="83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40" fontId="17" fillId="33" borderId="65" xfId="0" applyNumberFormat="1" applyFont="1" applyFill="1" applyBorder="1" applyAlignment="1">
      <alignment vertical="center"/>
    </xf>
    <xf numFmtId="40" fontId="17" fillId="0" borderId="68" xfId="0" applyNumberFormat="1" applyFont="1" applyFill="1" applyBorder="1" applyAlignment="1">
      <alignment vertical="center"/>
    </xf>
    <xf numFmtId="40" fontId="17" fillId="0" borderId="16" xfId="0" applyNumberFormat="1" applyFont="1" applyFill="1" applyBorder="1" applyAlignment="1">
      <alignment vertical="center"/>
    </xf>
    <xf numFmtId="40" fontId="17" fillId="33" borderId="68" xfId="0" applyNumberFormat="1" applyFont="1" applyFill="1" applyBorder="1" applyAlignment="1">
      <alignment vertical="center"/>
    </xf>
    <xf numFmtId="40" fontId="21" fillId="0" borderId="46" xfId="0" applyNumberFormat="1" applyFont="1" applyFill="1" applyBorder="1" applyAlignment="1">
      <alignment vertical="center"/>
    </xf>
    <xf numFmtId="165" fontId="21" fillId="0" borderId="26" xfId="83" applyFont="1" applyFill="1" applyBorder="1" applyAlignment="1" applyProtection="1">
      <alignment horizontal="center" vertical="center"/>
      <protection/>
    </xf>
    <xf numFmtId="165" fontId="21" fillId="0" borderId="23" xfId="83" applyFont="1" applyFill="1" applyBorder="1" applyAlignment="1" applyProtection="1">
      <alignment horizontal="center" vertical="center"/>
      <protection/>
    </xf>
    <xf numFmtId="40" fontId="17" fillId="33" borderId="58" xfId="0" applyNumberFormat="1" applyFont="1" applyFill="1" applyBorder="1" applyAlignment="1">
      <alignment vertical="center"/>
    </xf>
    <xf numFmtId="40" fontId="21" fillId="0" borderId="37" xfId="0" applyNumberFormat="1" applyFont="1" applyFill="1" applyBorder="1" applyAlignment="1">
      <alignment vertical="center"/>
    </xf>
    <xf numFmtId="40" fontId="21" fillId="0" borderId="39" xfId="0" applyNumberFormat="1" applyFont="1" applyFill="1" applyBorder="1" applyAlignment="1">
      <alignment vertical="center"/>
    </xf>
    <xf numFmtId="40" fontId="21" fillId="33" borderId="45" xfId="0" applyNumberFormat="1" applyFont="1" applyFill="1" applyBorder="1" applyAlignment="1">
      <alignment vertical="center"/>
    </xf>
    <xf numFmtId="40" fontId="21" fillId="33" borderId="69" xfId="0" applyNumberFormat="1" applyFont="1" applyFill="1" applyBorder="1" applyAlignment="1">
      <alignment vertical="center"/>
    </xf>
    <xf numFmtId="40" fontId="21" fillId="0" borderId="70" xfId="0" applyNumberFormat="1" applyFont="1" applyFill="1" applyBorder="1" applyAlignment="1">
      <alignment vertical="center"/>
    </xf>
    <xf numFmtId="40" fontId="17" fillId="0" borderId="41" xfId="0" applyNumberFormat="1" applyFont="1" applyFill="1" applyBorder="1" applyAlignment="1">
      <alignment horizontal="left" vertical="center"/>
    </xf>
    <xf numFmtId="40" fontId="17" fillId="0" borderId="19" xfId="0" applyNumberFormat="1" applyFont="1" applyFill="1" applyBorder="1" applyAlignment="1">
      <alignment vertical="center"/>
    </xf>
    <xf numFmtId="40" fontId="17" fillId="0" borderId="25" xfId="0" applyNumberFormat="1" applyFont="1" applyFill="1" applyBorder="1" applyAlignment="1">
      <alignment vertical="center"/>
    </xf>
    <xf numFmtId="40" fontId="17" fillId="33" borderId="26" xfId="0" applyNumberFormat="1" applyFont="1" applyFill="1" applyBorder="1" applyAlignment="1">
      <alignment vertical="center"/>
    </xf>
    <xf numFmtId="40" fontId="17" fillId="0" borderId="71" xfId="0" applyNumberFormat="1" applyFont="1" applyFill="1" applyBorder="1" applyAlignment="1">
      <alignment vertical="center"/>
    </xf>
    <xf numFmtId="40" fontId="21" fillId="0" borderId="72" xfId="0" applyNumberFormat="1" applyFont="1" applyFill="1" applyBorder="1" applyAlignment="1">
      <alignment vertical="center"/>
    </xf>
    <xf numFmtId="40" fontId="21" fillId="0" borderId="0" xfId="0" applyNumberFormat="1" applyFont="1" applyFill="1" applyAlignment="1">
      <alignment horizontal="right"/>
    </xf>
    <xf numFmtId="40" fontId="17" fillId="0" borderId="15" xfId="0" applyNumberFormat="1" applyFont="1" applyFill="1" applyBorder="1" applyAlignment="1">
      <alignment vertical="center"/>
    </xf>
    <xf numFmtId="40" fontId="17" fillId="0" borderId="41" xfId="0" applyNumberFormat="1" applyFont="1" applyFill="1" applyBorder="1" applyAlignment="1">
      <alignment vertical="center"/>
    </xf>
    <xf numFmtId="40" fontId="17" fillId="0" borderId="40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165" fontId="17" fillId="0" borderId="13" xfId="73" applyNumberFormat="1" applyFont="1" applyFill="1" applyBorder="1" applyAlignment="1" applyProtection="1">
      <alignment horizontal="left" vertical="center" wrapText="1"/>
      <protection/>
    </xf>
    <xf numFmtId="165" fontId="17" fillId="0" borderId="14" xfId="73" applyNumberFormat="1" applyFont="1" applyFill="1" applyBorder="1" applyAlignment="1" applyProtection="1">
      <alignment horizontal="left" vertical="center" wrapText="1"/>
      <protection/>
    </xf>
    <xf numFmtId="165" fontId="17" fillId="0" borderId="21" xfId="73" applyNumberFormat="1" applyFont="1" applyFill="1" applyBorder="1" applyAlignment="1" applyProtection="1">
      <alignment horizontal="right" vertical="center" wrapText="1"/>
      <protection/>
    </xf>
    <xf numFmtId="165" fontId="17" fillId="0" borderId="34" xfId="73" applyNumberFormat="1" applyFont="1" applyFill="1" applyBorder="1" applyAlignment="1" applyProtection="1">
      <alignment horizontal="left" vertical="center" wrapText="1"/>
      <protection/>
    </xf>
    <xf numFmtId="165" fontId="17" fillId="0" borderId="11" xfId="73" applyNumberFormat="1" applyFont="1" applyFill="1" applyBorder="1" applyAlignment="1" applyProtection="1">
      <alignment horizontal="left" vertical="center" wrapText="1"/>
      <protection/>
    </xf>
    <xf numFmtId="165" fontId="17" fillId="0" borderId="12" xfId="73" applyNumberFormat="1" applyFont="1" applyFill="1" applyBorder="1" applyAlignment="1" applyProtection="1">
      <alignment horizontal="left" vertical="center" wrapText="1"/>
      <protection/>
    </xf>
    <xf numFmtId="165" fontId="17" fillId="0" borderId="20" xfId="73" applyNumberFormat="1" applyFont="1" applyFill="1" applyBorder="1" applyAlignment="1" applyProtection="1">
      <alignment horizontal="right" vertical="center" wrapText="1"/>
      <protection/>
    </xf>
    <xf numFmtId="165" fontId="21" fillId="33" borderId="11" xfId="73" applyNumberFormat="1" applyFont="1" applyFill="1" applyBorder="1" applyAlignment="1" applyProtection="1">
      <alignment horizontal="left" vertical="center" wrapText="1"/>
      <protection/>
    </xf>
    <xf numFmtId="165" fontId="21" fillId="33" borderId="12" xfId="73" applyNumberFormat="1" applyFont="1" applyFill="1" applyBorder="1" applyAlignment="1" applyProtection="1">
      <alignment horizontal="left" vertical="center" wrapText="1"/>
      <protection/>
    </xf>
    <xf numFmtId="165" fontId="21" fillId="0" borderId="20" xfId="73" applyNumberFormat="1" applyFont="1" applyFill="1" applyBorder="1" applyAlignment="1" applyProtection="1">
      <alignment horizontal="right" vertical="center" wrapText="1"/>
      <protection/>
    </xf>
    <xf numFmtId="165" fontId="21" fillId="33" borderId="0" xfId="73" applyNumberFormat="1" applyFont="1" applyFill="1" applyBorder="1" applyAlignment="1" applyProtection="1">
      <alignment horizontal="left" vertical="center" wrapText="1"/>
      <protection/>
    </xf>
    <xf numFmtId="165" fontId="21" fillId="0" borderId="12" xfId="73" applyNumberFormat="1" applyFont="1" applyFill="1" applyBorder="1" applyAlignment="1" applyProtection="1">
      <alignment horizontal="right" vertical="center"/>
      <protection/>
    </xf>
    <xf numFmtId="165" fontId="17" fillId="33" borderId="11" xfId="73" applyNumberFormat="1" applyFont="1" applyFill="1" applyBorder="1" applyAlignment="1" applyProtection="1">
      <alignment horizontal="left" vertical="center" wrapText="1"/>
      <protection/>
    </xf>
    <xf numFmtId="165" fontId="17" fillId="33" borderId="12" xfId="73" applyNumberFormat="1" applyFont="1" applyFill="1" applyBorder="1" applyAlignment="1" applyProtection="1">
      <alignment horizontal="left" vertical="center" wrapText="1"/>
      <protection/>
    </xf>
    <xf numFmtId="165" fontId="17" fillId="33" borderId="0" xfId="73" applyNumberFormat="1" applyFont="1" applyFill="1" applyBorder="1" applyAlignment="1" applyProtection="1">
      <alignment horizontal="left" vertical="center" wrapText="1"/>
      <protection/>
    </xf>
    <xf numFmtId="165" fontId="17" fillId="0" borderId="23" xfId="73" applyNumberFormat="1" applyFont="1" applyFill="1" applyBorder="1" applyAlignment="1" applyProtection="1">
      <alignment horizontal="right" vertical="center" wrapText="1"/>
      <protection/>
    </xf>
    <xf numFmtId="165" fontId="17" fillId="33" borderId="19" xfId="73" applyNumberFormat="1" applyFont="1" applyFill="1" applyBorder="1" applyAlignment="1" applyProtection="1">
      <alignment horizontal="center" vertical="center" wrapText="1"/>
      <protection/>
    </xf>
    <xf numFmtId="165" fontId="17" fillId="0" borderId="16" xfId="73" applyNumberFormat="1" applyFont="1" applyFill="1" applyBorder="1" applyAlignment="1" applyProtection="1">
      <alignment horizontal="right" vertical="center" wrapText="1"/>
      <protection/>
    </xf>
    <xf numFmtId="165" fontId="17" fillId="33" borderId="14" xfId="73" applyNumberFormat="1" applyFont="1" applyFill="1" applyBorder="1" applyAlignment="1" applyProtection="1">
      <alignment horizontal="center" vertical="center" wrapText="1"/>
      <protection/>
    </xf>
    <xf numFmtId="165" fontId="17" fillId="0" borderId="37" xfId="73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 wrapText="1"/>
    </xf>
    <xf numFmtId="165" fontId="17" fillId="0" borderId="11" xfId="73" applyNumberFormat="1" applyFont="1" applyFill="1" applyBorder="1" applyAlignment="1" applyProtection="1">
      <alignment horizontal="right" vertical="center" wrapText="1"/>
      <protection/>
    </xf>
    <xf numFmtId="165" fontId="17" fillId="0" borderId="0" xfId="73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horizontal="left" vertical="center" indent="1"/>
    </xf>
    <xf numFmtId="165" fontId="21" fillId="0" borderId="11" xfId="73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left" vertical="center" indent="1"/>
    </xf>
    <xf numFmtId="0" fontId="92" fillId="0" borderId="0" xfId="0" applyFont="1" applyFill="1" applyAlignment="1">
      <alignment horizontal="left" vertical="center" indent="1"/>
    </xf>
    <xf numFmtId="165" fontId="17" fillId="0" borderId="19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wrapText="1" indent="1"/>
    </xf>
    <xf numFmtId="165" fontId="21" fillId="0" borderId="16" xfId="73" applyNumberFormat="1" applyFont="1" applyFill="1" applyBorder="1" applyAlignment="1" applyProtection="1">
      <alignment horizontal="right" vertical="center" wrapText="1"/>
      <protection/>
    </xf>
    <xf numFmtId="165" fontId="17" fillId="0" borderId="19" xfId="73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left" vertical="center" indent="1"/>
    </xf>
    <xf numFmtId="165" fontId="17" fillId="0" borderId="25" xfId="73" applyNumberFormat="1" applyFont="1" applyFill="1" applyBorder="1" applyAlignment="1" applyProtection="1">
      <alignment horizontal="right" vertical="center" wrapText="1"/>
      <protection/>
    </xf>
    <xf numFmtId="0" fontId="21" fillId="0" borderId="41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165" fontId="17" fillId="33" borderId="11" xfId="73" applyNumberFormat="1" applyFont="1" applyFill="1" applyBorder="1" applyAlignment="1" applyProtection="1">
      <alignment horizontal="center" vertical="center"/>
      <protection/>
    </xf>
    <xf numFmtId="165" fontId="17" fillId="33" borderId="11" xfId="73" applyNumberFormat="1" applyFont="1" applyFill="1" applyBorder="1" applyAlignment="1" applyProtection="1">
      <alignment horizontal="right" vertical="center"/>
      <protection/>
    </xf>
    <xf numFmtId="165" fontId="17" fillId="33" borderId="12" xfId="73" applyNumberFormat="1" applyFont="1" applyFill="1" applyBorder="1" applyAlignment="1" applyProtection="1">
      <alignment horizontal="center" vertical="center"/>
      <protection/>
    </xf>
    <xf numFmtId="165" fontId="21" fillId="33" borderId="11" xfId="73" applyNumberFormat="1" applyFont="1" applyFill="1" applyBorder="1" applyAlignment="1" applyProtection="1">
      <alignment horizontal="center" vertical="center"/>
      <protection/>
    </xf>
    <xf numFmtId="165" fontId="21" fillId="33" borderId="12" xfId="73" applyNumberFormat="1" applyFont="1" applyFill="1" applyBorder="1" applyAlignment="1" applyProtection="1">
      <alignment horizontal="center" vertical="center"/>
      <protection/>
    </xf>
    <xf numFmtId="165" fontId="21" fillId="33" borderId="20" xfId="73" applyNumberFormat="1" applyFont="1" applyFill="1" applyBorder="1" applyAlignment="1" applyProtection="1">
      <alignment horizontal="right" vertical="center"/>
      <protection/>
    </xf>
    <xf numFmtId="43" fontId="21" fillId="0" borderId="0" xfId="0" applyNumberFormat="1" applyFont="1" applyFill="1" applyAlignment="1">
      <alignment/>
    </xf>
    <xf numFmtId="165" fontId="21" fillId="33" borderId="23" xfId="73" applyNumberFormat="1" applyFont="1" applyFill="1" applyBorder="1" applyAlignment="1" applyProtection="1">
      <alignment horizontal="right" vertical="center"/>
      <protection/>
    </xf>
    <xf numFmtId="165" fontId="17" fillId="33" borderId="19" xfId="0" applyNumberFormat="1" applyFont="1" applyFill="1" applyBorder="1" applyAlignment="1">
      <alignment horizontal="center" vertical="center"/>
    </xf>
    <xf numFmtId="165" fontId="17" fillId="33" borderId="25" xfId="0" applyNumberFormat="1" applyFont="1" applyFill="1" applyBorder="1" applyAlignment="1">
      <alignment horizontal="center" vertical="center"/>
    </xf>
    <xf numFmtId="165" fontId="17" fillId="33" borderId="38" xfId="73" applyNumberFormat="1" applyFont="1" applyFill="1" applyBorder="1" applyAlignment="1" applyProtection="1">
      <alignment horizontal="right" vertical="center"/>
      <protection/>
    </xf>
    <xf numFmtId="165" fontId="17" fillId="33" borderId="39" xfId="0" applyNumberFormat="1" applyFont="1" applyFill="1" applyBorder="1" applyAlignment="1">
      <alignment horizontal="center" vertical="center"/>
    </xf>
    <xf numFmtId="165" fontId="17" fillId="33" borderId="23" xfId="73" applyNumberFormat="1" applyFont="1" applyFill="1" applyBorder="1" applyAlignment="1" applyProtection="1">
      <alignment horizontal="right" vertical="center"/>
      <protection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3" fontId="21" fillId="0" borderId="0" xfId="0" applyNumberFormat="1" applyFont="1" applyFill="1" applyAlignment="1">
      <alignment horizontal="center" vertical="center"/>
    </xf>
    <xf numFmtId="165" fontId="17" fillId="0" borderId="32" xfId="0" applyNumberFormat="1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/>
    </xf>
    <xf numFmtId="165" fontId="21" fillId="0" borderId="62" xfId="73" applyNumberFormat="1" applyFont="1" applyFill="1" applyBorder="1" applyAlignment="1" applyProtection="1">
      <alignment horizontal="right" vertical="center"/>
      <protection/>
    </xf>
    <xf numFmtId="165" fontId="21" fillId="0" borderId="22" xfId="83" applyFont="1" applyFill="1" applyBorder="1" applyAlignment="1">
      <alignment horizontal="right" vertical="center"/>
    </xf>
    <xf numFmtId="165" fontId="17" fillId="33" borderId="13" xfId="73" applyNumberFormat="1" applyFont="1" applyFill="1" applyBorder="1" applyAlignment="1" applyProtection="1">
      <alignment vertical="center"/>
      <protection/>
    </xf>
    <xf numFmtId="165" fontId="17" fillId="33" borderId="68" xfId="73" applyNumberFormat="1" applyFont="1" applyFill="1" applyBorder="1" applyAlignment="1" applyProtection="1">
      <alignment vertical="center"/>
      <protection/>
    </xf>
    <xf numFmtId="165" fontId="17" fillId="0" borderId="21" xfId="73" applyNumberFormat="1" applyFont="1" applyFill="1" applyBorder="1" applyAlignment="1" applyProtection="1">
      <alignment horizontal="right" vertical="center"/>
      <protection/>
    </xf>
    <xf numFmtId="165" fontId="17" fillId="33" borderId="21" xfId="73" applyNumberFormat="1" applyFont="1" applyFill="1" applyBorder="1" applyAlignment="1" applyProtection="1">
      <alignment vertical="center"/>
      <protection/>
    </xf>
    <xf numFmtId="165" fontId="17" fillId="33" borderId="38" xfId="0" applyNumberFormat="1" applyFont="1" applyFill="1" applyBorder="1" applyAlignment="1">
      <alignment horizontal="center" vertical="center"/>
    </xf>
    <xf numFmtId="165" fontId="17" fillId="33" borderId="38" xfId="0" applyNumberFormat="1" applyFont="1" applyFill="1" applyBorder="1" applyAlignment="1">
      <alignment horizontal="right" vertical="center"/>
    </xf>
    <xf numFmtId="165" fontId="17" fillId="33" borderId="38" xfId="0" applyNumberFormat="1" applyFont="1" applyFill="1" applyBorder="1" applyAlignment="1">
      <alignment vertical="center"/>
    </xf>
    <xf numFmtId="165" fontId="17" fillId="0" borderId="38" xfId="73" applyNumberFormat="1" applyFont="1" applyFill="1" applyBorder="1" applyAlignment="1" applyProtection="1">
      <alignment horizontal="right" vertical="center"/>
      <protection/>
    </xf>
    <xf numFmtId="165" fontId="21" fillId="0" borderId="0" xfId="73" applyNumberFormat="1" applyFont="1" applyFill="1" applyBorder="1" applyAlignment="1" applyProtection="1">
      <alignment horizontal="left" vertical="center"/>
      <protection/>
    </xf>
    <xf numFmtId="43" fontId="21" fillId="0" borderId="0" xfId="0" applyNumberFormat="1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165" fontId="21" fillId="0" borderId="0" xfId="73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 wrapText="1" indent="2"/>
    </xf>
    <xf numFmtId="0" fontId="27" fillId="0" borderId="0" xfId="0" applyFont="1" applyFill="1" applyBorder="1" applyAlignment="1">
      <alignment vertical="center"/>
    </xf>
    <xf numFmtId="37" fontId="3" fillId="0" borderId="0" xfId="0" applyNumberFormat="1" applyFont="1" applyBorder="1" applyAlignment="1">
      <alignment/>
    </xf>
    <xf numFmtId="0" fontId="21" fillId="0" borderId="0" xfId="0" applyFont="1" applyFill="1" applyAlignment="1">
      <alignment horizontal="left" indent="1"/>
    </xf>
    <xf numFmtId="49" fontId="4" fillId="0" borderId="0" xfId="0" applyNumberFormat="1" applyFont="1" applyBorder="1" applyAlignment="1">
      <alignment horizontal="left" indent="7"/>
    </xf>
    <xf numFmtId="49" fontId="21" fillId="0" borderId="0" xfId="0" applyNumberFormat="1" applyFont="1" applyFill="1" applyBorder="1" applyAlignment="1">
      <alignment horizontal="left" indent="1"/>
    </xf>
    <xf numFmtId="49" fontId="21" fillId="0" borderId="0" xfId="0" applyNumberFormat="1" applyFont="1" applyFill="1" applyBorder="1" applyAlignment="1">
      <alignment horizontal="left" indent="8"/>
    </xf>
    <xf numFmtId="4" fontId="17" fillId="0" borderId="0" xfId="0" applyNumberFormat="1" applyFont="1" applyFill="1" applyBorder="1" applyAlignment="1">
      <alignment horizontal="left" indent="8"/>
    </xf>
    <xf numFmtId="0" fontId="17" fillId="0" borderId="0" xfId="0" applyFont="1" applyFill="1" applyBorder="1" applyAlignment="1">
      <alignment horizontal="left" indent="8"/>
    </xf>
    <xf numFmtId="0" fontId="21" fillId="0" borderId="0" xfId="0" applyFont="1" applyFill="1" applyBorder="1" applyAlignment="1">
      <alignment horizontal="left" indent="8"/>
    </xf>
    <xf numFmtId="4" fontId="21" fillId="0" borderId="0" xfId="0" applyNumberFormat="1" applyFont="1" applyFill="1" applyBorder="1" applyAlignment="1">
      <alignment horizontal="left" indent="8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indent="8"/>
    </xf>
    <xf numFmtId="2" fontId="3" fillId="0" borderId="0" xfId="0" applyNumberFormat="1" applyFont="1" applyBorder="1" applyAlignment="1">
      <alignment/>
    </xf>
    <xf numFmtId="165" fontId="0" fillId="33" borderId="12" xfId="62" applyFont="1" applyFill="1" applyBorder="1" applyAlignment="1" applyProtection="1">
      <alignment horizontal="center" vertical="center"/>
      <protection/>
    </xf>
    <xf numFmtId="165" fontId="4" fillId="0" borderId="0" xfId="83" applyFont="1" applyAlignment="1">
      <alignment/>
    </xf>
    <xf numFmtId="2" fontId="17" fillId="0" borderId="22" xfId="0" applyNumberFormat="1" applyFont="1" applyFill="1" applyBorder="1" applyAlignment="1">
      <alignment horizontal="right" vertical="center"/>
    </xf>
    <xf numFmtId="165" fontId="17" fillId="0" borderId="12" xfId="73" applyNumberFormat="1" applyFont="1" applyFill="1" applyBorder="1" applyAlignment="1" applyProtection="1">
      <alignment horizontal="right" vertical="center"/>
      <protection/>
    </xf>
    <xf numFmtId="4" fontId="4" fillId="0" borderId="11" xfId="55" applyNumberFormat="1" applyFont="1" applyFill="1" applyBorder="1" applyAlignment="1">
      <alignment horizontal="right" vertical="center"/>
      <protection/>
    </xf>
    <xf numFmtId="4" fontId="4" fillId="0" borderId="12" xfId="55" applyNumberFormat="1" applyFont="1" applyFill="1" applyBorder="1" applyAlignment="1">
      <alignment horizontal="right" vertical="center"/>
      <protection/>
    </xf>
    <xf numFmtId="4" fontId="4" fillId="0" borderId="16" xfId="55" applyNumberFormat="1" applyFont="1" applyFill="1" applyBorder="1" applyAlignment="1">
      <alignment horizontal="right" vertical="center"/>
      <protection/>
    </xf>
    <xf numFmtId="165" fontId="4" fillId="0" borderId="0" xfId="72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Alignment="1">
      <alignment/>
    </xf>
    <xf numFmtId="165" fontId="9" fillId="33" borderId="58" xfId="62" applyFont="1" applyFill="1" applyBorder="1" applyAlignment="1" applyProtection="1">
      <alignment horizontal="center" vertical="center"/>
      <protection/>
    </xf>
    <xf numFmtId="165" fontId="9" fillId="33" borderId="74" xfId="62" applyFont="1" applyFill="1" applyBorder="1" applyAlignment="1" applyProtection="1">
      <alignment horizontal="center" vertical="center"/>
      <protection/>
    </xf>
    <xf numFmtId="165" fontId="17" fillId="0" borderId="22" xfId="73" applyNumberFormat="1" applyFont="1" applyFill="1" applyBorder="1" applyAlignment="1" applyProtection="1">
      <alignment horizontal="right" vertical="center"/>
      <protection/>
    </xf>
    <xf numFmtId="165" fontId="17" fillId="0" borderId="62" xfId="73" applyNumberFormat="1" applyFont="1" applyFill="1" applyBorder="1" applyAlignment="1" applyProtection="1">
      <alignment horizontal="right" vertical="center"/>
      <protection/>
    </xf>
    <xf numFmtId="2" fontId="17" fillId="0" borderId="22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 vertical="center"/>
    </xf>
    <xf numFmtId="43" fontId="21" fillId="0" borderId="0" xfId="0" applyNumberFormat="1" applyFont="1" applyFill="1" applyAlignment="1">
      <alignment horizontal="left" vertical="center" indent="1"/>
    </xf>
    <xf numFmtId="0" fontId="21" fillId="0" borderId="0" xfId="0" applyFont="1" applyFill="1" applyAlignment="1">
      <alignment horizontal="right" vertical="center" indent="1"/>
    </xf>
    <xf numFmtId="165" fontId="0" fillId="0" borderId="42" xfId="83" applyFont="1" applyBorder="1" applyAlignment="1">
      <alignment vertical="center"/>
    </xf>
    <xf numFmtId="165" fontId="21" fillId="0" borderId="29" xfId="73" applyNumberFormat="1" applyFont="1" applyFill="1" applyBorder="1" applyAlignment="1" applyProtection="1">
      <alignment horizontal="right" vertical="center"/>
      <protection/>
    </xf>
    <xf numFmtId="165" fontId="21" fillId="33" borderId="29" xfId="73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Alignment="1">
      <alignment/>
    </xf>
    <xf numFmtId="165" fontId="17" fillId="0" borderId="50" xfId="83" applyFont="1" applyFill="1" applyBorder="1" applyAlignment="1" applyProtection="1">
      <alignment horizontal="center" vertical="center"/>
      <protection/>
    </xf>
    <xf numFmtId="165" fontId="17" fillId="0" borderId="49" xfId="83" applyFont="1" applyFill="1" applyBorder="1" applyAlignment="1" applyProtection="1">
      <alignment horizontal="center" vertical="center"/>
      <protection/>
    </xf>
    <xf numFmtId="165" fontId="17" fillId="0" borderId="58" xfId="73" applyNumberFormat="1" applyFont="1" applyFill="1" applyBorder="1" applyAlignment="1" applyProtection="1">
      <alignment horizontal="right" vertical="center"/>
      <protection/>
    </xf>
    <xf numFmtId="0" fontId="3" fillId="0" borderId="38" xfId="54" applyFont="1" applyFill="1" applyBorder="1" applyAlignment="1">
      <alignment horizontal="center" vertical="center"/>
      <protection/>
    </xf>
    <xf numFmtId="165" fontId="8" fillId="0" borderId="10" xfId="72" applyFont="1" applyFill="1" applyBorder="1" applyAlignment="1" applyProtection="1">
      <alignment horizontal="center" vertical="center" wrapText="1"/>
      <protection/>
    </xf>
    <xf numFmtId="165" fontId="4" fillId="0" borderId="42" xfId="62" applyFont="1" applyFill="1" applyBorder="1" applyAlignment="1" applyProtection="1">
      <alignment horizontal="center" vertical="center" wrapText="1"/>
      <protection/>
    </xf>
    <xf numFmtId="165" fontId="4" fillId="0" borderId="69" xfId="62" applyFont="1" applyFill="1" applyBorder="1" applyAlignment="1" applyProtection="1">
      <alignment horizontal="center" vertical="center" wrapText="1"/>
      <protection/>
    </xf>
    <xf numFmtId="0" fontId="4" fillId="0" borderId="38" xfId="54" applyFont="1" applyFill="1" applyBorder="1" applyAlignment="1">
      <alignment horizontal="left" vertical="center" wrapText="1"/>
      <protection/>
    </xf>
    <xf numFmtId="165" fontId="4" fillId="0" borderId="38" xfId="71" applyFont="1" applyFill="1" applyBorder="1" applyAlignment="1" applyProtection="1">
      <alignment horizontal="right" vertical="center"/>
      <protection/>
    </xf>
    <xf numFmtId="165" fontId="4" fillId="0" borderId="38" xfId="7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165" fontId="4" fillId="0" borderId="13" xfId="62" applyFont="1" applyFill="1" applyBorder="1" applyAlignment="1" applyProtection="1">
      <alignment horizontal="right" vertical="center"/>
      <protection/>
    </xf>
    <xf numFmtId="165" fontId="4" fillId="0" borderId="14" xfId="62" applyFont="1" applyFill="1" applyBorder="1" applyAlignment="1" applyProtection="1">
      <alignment horizontal="right" vertical="center"/>
      <protection/>
    </xf>
    <xf numFmtId="40" fontId="3" fillId="0" borderId="38" xfId="0" applyNumberFormat="1" applyFont="1" applyBorder="1" applyAlignment="1">
      <alignment/>
    </xf>
    <xf numFmtId="37" fontId="3" fillId="0" borderId="38" xfId="0" applyNumberFormat="1" applyFont="1" applyFill="1" applyBorder="1" applyAlignment="1">
      <alignment vertical="center"/>
    </xf>
    <xf numFmtId="37" fontId="3" fillId="0" borderId="38" xfId="0" applyNumberFormat="1" applyFont="1" applyFill="1" applyBorder="1" applyAlignment="1">
      <alignment/>
    </xf>
    <xf numFmtId="37" fontId="3" fillId="0" borderId="38" xfId="0" applyNumberFormat="1" applyFont="1" applyFill="1" applyBorder="1" applyAlignment="1">
      <alignment horizontal="center"/>
    </xf>
    <xf numFmtId="16" fontId="3" fillId="0" borderId="38" xfId="0" applyNumberFormat="1" applyFont="1" applyFill="1" applyBorder="1" applyAlignment="1">
      <alignment/>
    </xf>
    <xf numFmtId="0" fontId="3" fillId="0" borderId="38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4" fillId="0" borderId="34" xfId="62" applyFont="1" applyFill="1" applyBorder="1" applyAlignment="1" applyProtection="1">
      <alignment horizontal="center" vertical="center"/>
      <protection/>
    </xf>
    <xf numFmtId="165" fontId="4" fillId="0" borderId="55" xfId="62" applyFont="1" applyFill="1" applyBorder="1" applyAlignment="1" applyProtection="1">
      <alignment horizontal="center" vertical="center"/>
      <protection/>
    </xf>
    <xf numFmtId="165" fontId="4" fillId="0" borderId="14" xfId="62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/>
    </xf>
    <xf numFmtId="165" fontId="3" fillId="0" borderId="58" xfId="54" applyNumberFormat="1" applyFont="1" applyFill="1" applyBorder="1" applyAlignment="1">
      <alignment horizontal="center" vertical="center"/>
      <protection/>
    </xf>
    <xf numFmtId="165" fontId="3" fillId="0" borderId="0" xfId="54" applyNumberFormat="1" applyFont="1" applyFill="1" applyBorder="1" applyAlignment="1">
      <alignment horizontal="center" vertical="center"/>
      <protection/>
    </xf>
    <xf numFmtId="165" fontId="3" fillId="0" borderId="22" xfId="54" applyNumberFormat="1" applyFont="1" applyFill="1" applyBorder="1" applyAlignment="1">
      <alignment horizontal="center" vertical="center"/>
      <protection/>
    </xf>
    <xf numFmtId="43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right" vertical="center"/>
      <protection/>
    </xf>
    <xf numFmtId="165" fontId="3" fillId="0" borderId="0" xfId="70" applyFont="1" applyFill="1" applyBorder="1" applyAlignment="1" applyProtection="1">
      <alignment horizontal="right" vertical="center"/>
      <protection/>
    </xf>
    <xf numFmtId="3" fontId="4" fillId="0" borderId="0" xfId="53" applyNumberFormat="1" applyFont="1" applyFill="1" applyBorder="1" applyAlignment="1">
      <alignment vertical="center" wrapText="1"/>
      <protection/>
    </xf>
    <xf numFmtId="3" fontId="4" fillId="0" borderId="38" xfId="53" applyNumberFormat="1" applyFont="1" applyFill="1" applyBorder="1" applyAlignment="1">
      <alignment vertical="center" wrapText="1"/>
      <protection/>
    </xf>
    <xf numFmtId="3" fontId="4" fillId="0" borderId="38" xfId="53" applyNumberFormat="1" applyFont="1" applyFill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vertical="center"/>
      <protection/>
    </xf>
    <xf numFmtId="165" fontId="0" fillId="0" borderId="0" xfId="83" applyFont="1" applyFill="1" applyBorder="1" applyAlignment="1">
      <alignment horizontal="center" vertical="center"/>
    </xf>
    <xf numFmtId="0" fontId="4" fillId="0" borderId="38" xfId="53" applyFont="1" applyFill="1" applyBorder="1" applyAlignment="1">
      <alignment horizontal="left" vertical="center" wrapText="1"/>
      <protection/>
    </xf>
    <xf numFmtId="165" fontId="0" fillId="0" borderId="60" xfId="83" applyFont="1" applyFill="1" applyBorder="1" applyAlignment="1">
      <alignment horizontal="center" vertical="center"/>
    </xf>
    <xf numFmtId="165" fontId="0" fillId="0" borderId="30" xfId="83" applyFont="1" applyFill="1" applyBorder="1" applyAlignment="1">
      <alignment horizontal="center" vertical="center"/>
    </xf>
    <xf numFmtId="3" fontId="3" fillId="0" borderId="38" xfId="53" applyNumberFormat="1" applyFont="1" applyFill="1" applyBorder="1" applyAlignment="1">
      <alignment vertical="center" wrapText="1"/>
      <protection/>
    </xf>
    <xf numFmtId="165" fontId="9" fillId="0" borderId="38" xfId="83" applyFont="1" applyFill="1" applyBorder="1" applyAlignment="1">
      <alignment horizontal="center" vertical="center"/>
    </xf>
    <xf numFmtId="165" fontId="9" fillId="0" borderId="0" xfId="83" applyFont="1" applyFill="1" applyBorder="1" applyAlignment="1">
      <alignment horizontal="center" vertical="center"/>
    </xf>
    <xf numFmtId="3" fontId="4" fillId="0" borderId="38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/>
      <protection/>
    </xf>
    <xf numFmtId="3" fontId="4" fillId="0" borderId="42" xfId="53" applyNumberFormat="1" applyFont="1" applyFill="1" applyBorder="1" applyAlignment="1">
      <alignment vertical="center" wrapText="1"/>
      <protection/>
    </xf>
    <xf numFmtId="3" fontId="3" fillId="0" borderId="42" xfId="53" applyNumberFormat="1" applyFont="1" applyFill="1" applyBorder="1" applyAlignment="1">
      <alignment vertical="center" wrapText="1"/>
      <protection/>
    </xf>
    <xf numFmtId="165" fontId="4" fillId="0" borderId="20" xfId="70" applyFont="1" applyFill="1" applyBorder="1" applyAlignment="1" applyProtection="1">
      <alignment horizontal="right" vertical="center" wrapText="1"/>
      <protection/>
    </xf>
    <xf numFmtId="165" fontId="4" fillId="0" borderId="37" xfId="70" applyFont="1" applyFill="1" applyBorder="1" applyAlignment="1" applyProtection="1">
      <alignment horizontal="right" vertical="center"/>
      <protection/>
    </xf>
    <xf numFmtId="3" fontId="4" fillId="0" borderId="62" xfId="53" applyNumberFormat="1" applyFont="1" applyFill="1" applyBorder="1" applyAlignment="1">
      <alignment horizontal="left" vertical="center"/>
      <protection/>
    </xf>
    <xf numFmtId="3" fontId="4" fillId="0" borderId="62" xfId="53" applyNumberFormat="1" applyFont="1" applyFill="1" applyBorder="1" applyAlignment="1">
      <alignment horizontal="left" vertical="center" indent="1"/>
      <protection/>
    </xf>
    <xf numFmtId="3" fontId="3" fillId="0" borderId="62" xfId="53" applyNumberFormat="1" applyFont="1" applyFill="1" applyBorder="1" applyAlignment="1">
      <alignment horizontal="left" vertical="center" indent="2"/>
      <protection/>
    </xf>
    <xf numFmtId="3" fontId="3" fillId="0" borderId="62" xfId="53" applyNumberFormat="1" applyFont="1" applyFill="1" applyBorder="1" applyAlignment="1">
      <alignment horizontal="left" vertical="center" indent="1"/>
      <protection/>
    </xf>
    <xf numFmtId="3" fontId="3" fillId="0" borderId="58" xfId="53" applyNumberFormat="1" applyFont="1" applyFill="1" applyBorder="1" applyAlignment="1">
      <alignment horizontal="left" vertical="center" indent="2"/>
      <protection/>
    </xf>
    <xf numFmtId="3" fontId="4" fillId="0" borderId="58" xfId="53" applyNumberFormat="1" applyFont="1" applyFill="1" applyBorder="1" applyAlignment="1">
      <alignment horizontal="left" vertical="center"/>
      <protection/>
    </xf>
    <xf numFmtId="3" fontId="3" fillId="0" borderId="58" xfId="53" applyNumberFormat="1" applyFont="1" applyFill="1" applyBorder="1" applyAlignment="1">
      <alignment horizontal="left" vertical="center" indent="1"/>
      <protection/>
    </xf>
    <xf numFmtId="3" fontId="4" fillId="0" borderId="58" xfId="53" applyNumberFormat="1" applyFont="1" applyFill="1" applyBorder="1" applyAlignment="1">
      <alignment horizontal="left" vertical="center" indent="1"/>
      <protection/>
    </xf>
    <xf numFmtId="3" fontId="4" fillId="0" borderId="75" xfId="53" applyNumberFormat="1" applyFont="1" applyFill="1" applyBorder="1" applyAlignment="1">
      <alignment horizontal="left" vertical="center"/>
      <protection/>
    </xf>
    <xf numFmtId="0" fontId="4" fillId="0" borderId="76" xfId="53" applyFont="1" applyFill="1" applyBorder="1" applyAlignment="1">
      <alignment horizontal="left" vertical="center"/>
      <protection/>
    </xf>
    <xf numFmtId="4" fontId="4" fillId="0" borderId="58" xfId="53" applyNumberFormat="1" applyFont="1" applyFill="1" applyBorder="1" applyAlignment="1">
      <alignment horizontal="left" vertical="center" wrapText="1"/>
      <protection/>
    </xf>
    <xf numFmtId="0" fontId="4" fillId="0" borderId="58" xfId="53" applyFont="1" applyFill="1" applyBorder="1" applyAlignment="1">
      <alignment horizontal="left" vertical="center"/>
      <protection/>
    </xf>
    <xf numFmtId="3" fontId="4" fillId="0" borderId="74" xfId="53" applyNumberFormat="1" applyFont="1" applyFill="1" applyBorder="1" applyAlignment="1">
      <alignment vertical="center"/>
      <protection/>
    </xf>
    <xf numFmtId="3" fontId="4" fillId="0" borderId="21" xfId="53" applyNumberFormat="1" applyFont="1" applyFill="1" applyBorder="1" applyAlignment="1">
      <alignment vertical="center" wrapText="1"/>
      <protection/>
    </xf>
    <xf numFmtId="3" fontId="3" fillId="0" borderId="58" xfId="53" applyNumberFormat="1" applyFont="1" applyFill="1" applyBorder="1" applyAlignment="1">
      <alignment vertical="center" wrapText="1"/>
      <protection/>
    </xf>
    <xf numFmtId="3" fontId="4" fillId="0" borderId="58" xfId="53" applyNumberFormat="1" applyFont="1" applyFill="1" applyBorder="1" applyAlignment="1">
      <alignment vertical="center" wrapText="1"/>
      <protection/>
    </xf>
    <xf numFmtId="165" fontId="0" fillId="0" borderId="61" xfId="83" applyFont="1" applyFill="1" applyBorder="1" applyAlignment="1">
      <alignment horizontal="center" vertical="center"/>
    </xf>
    <xf numFmtId="165" fontId="0" fillId="0" borderId="22" xfId="83" applyFont="1" applyFill="1" applyBorder="1" applyAlignment="1">
      <alignment horizontal="center" vertical="center"/>
    </xf>
    <xf numFmtId="165" fontId="3" fillId="0" borderId="37" xfId="83" applyFont="1" applyFill="1" applyBorder="1" applyAlignment="1" applyProtection="1">
      <alignment horizontal="center" vertical="center"/>
      <protection/>
    </xf>
    <xf numFmtId="0" fontId="3" fillId="0" borderId="58" xfId="54" applyFont="1" applyFill="1" applyBorder="1" applyAlignment="1">
      <alignment horizontal="left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65" fontId="9" fillId="0" borderId="32" xfId="83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165" fontId="4" fillId="0" borderId="37" xfId="83" applyFont="1" applyFill="1" applyBorder="1" applyAlignment="1" applyProtection="1">
      <alignment horizontal="center" vertical="center"/>
      <protection/>
    </xf>
    <xf numFmtId="165" fontId="4" fillId="0" borderId="77" xfId="83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vertical="center"/>
    </xf>
    <xf numFmtId="165" fontId="3" fillId="0" borderId="37" xfId="83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/>
    </xf>
    <xf numFmtId="165" fontId="3" fillId="0" borderId="22" xfId="83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vertical="center"/>
    </xf>
    <xf numFmtId="0" fontId="3" fillId="0" borderId="30" xfId="0" applyFont="1" applyBorder="1" applyAlignment="1">
      <alignment/>
    </xf>
    <xf numFmtId="0" fontId="20" fillId="0" borderId="30" xfId="0" applyFont="1" applyBorder="1" applyAlignment="1">
      <alignment/>
    </xf>
    <xf numFmtId="37" fontId="3" fillId="0" borderId="30" xfId="0" applyNumberFormat="1" applyFont="1" applyBorder="1" applyAlignment="1">
      <alignment/>
    </xf>
    <xf numFmtId="166" fontId="3" fillId="0" borderId="30" xfId="0" applyNumberFormat="1" applyFont="1" applyBorder="1" applyAlignment="1">
      <alignment horizontal="right"/>
    </xf>
    <xf numFmtId="0" fontId="4" fillId="33" borderId="7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4" fillId="33" borderId="80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33" borderId="75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49" fontId="3" fillId="0" borderId="63" xfId="0" applyNumberFormat="1" applyFont="1" applyBorder="1" applyAlignment="1">
      <alignment/>
    </xf>
    <xf numFmtId="0" fontId="3" fillId="0" borderId="62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4" fillId="33" borderId="7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4" fillId="33" borderId="8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6" fillId="33" borderId="81" xfId="0" applyFont="1" applyFill="1" applyBorder="1" applyAlignment="1">
      <alignment horizontal="left" vertical="center" wrapText="1"/>
    </xf>
    <xf numFmtId="0" fontId="26" fillId="0" borderId="80" xfId="0" applyFont="1" applyFill="1" applyBorder="1" applyAlignment="1">
      <alignment vertical="center"/>
    </xf>
    <xf numFmtId="49" fontId="17" fillId="0" borderId="62" xfId="0" applyNumberFormat="1" applyFont="1" applyFill="1" applyBorder="1" applyAlignment="1">
      <alignment horizontal="left" vertical="center"/>
    </xf>
    <xf numFmtId="49" fontId="17" fillId="0" borderId="62" xfId="0" applyNumberFormat="1" applyFont="1" applyFill="1" applyBorder="1" applyAlignment="1">
      <alignment horizontal="left" vertical="center" indent="1"/>
    </xf>
    <xf numFmtId="49" fontId="21" fillId="0" borderId="62" xfId="0" applyNumberFormat="1" applyFont="1" applyFill="1" applyBorder="1" applyAlignment="1">
      <alignment horizontal="left" vertical="center" indent="2"/>
    </xf>
    <xf numFmtId="49" fontId="21" fillId="0" borderId="26" xfId="0" applyNumberFormat="1" applyFont="1" applyFill="1" applyBorder="1" applyAlignment="1">
      <alignment horizontal="left" vertical="center" indent="2"/>
    </xf>
    <xf numFmtId="165" fontId="17" fillId="0" borderId="77" xfId="83" applyFont="1" applyFill="1" applyBorder="1" applyAlignment="1" applyProtection="1">
      <alignment horizontal="center" vertical="center" wrapText="1"/>
      <protection/>
    </xf>
    <xf numFmtId="165" fontId="17" fillId="0" borderId="37" xfId="83" applyFont="1" applyFill="1" applyBorder="1" applyAlignment="1" applyProtection="1">
      <alignment horizontal="left" vertical="center"/>
      <protection/>
    </xf>
    <xf numFmtId="165" fontId="17" fillId="0" borderId="37" xfId="83" applyFont="1" applyFill="1" applyBorder="1" applyAlignment="1" applyProtection="1">
      <alignment horizontal="left" vertical="center" wrapText="1"/>
      <protection/>
    </xf>
    <xf numFmtId="165" fontId="21" fillId="0" borderId="37" xfId="83" applyFont="1" applyFill="1" applyBorder="1" applyAlignment="1" applyProtection="1">
      <alignment horizontal="left" vertical="center" wrapText="1"/>
      <protection/>
    </xf>
    <xf numFmtId="165" fontId="21" fillId="0" borderId="46" xfId="83" applyFont="1" applyFill="1" applyBorder="1" applyAlignment="1" applyProtection="1">
      <alignment horizontal="left" vertical="center" wrapText="1"/>
      <protection/>
    </xf>
    <xf numFmtId="49" fontId="17" fillId="0" borderId="65" xfId="0" applyNumberFormat="1" applyFont="1" applyFill="1" applyBorder="1" applyAlignment="1">
      <alignment horizontal="left" vertical="center"/>
    </xf>
    <xf numFmtId="49" fontId="17" fillId="0" borderId="80" xfId="0" applyNumberFormat="1" applyFont="1" applyFill="1" applyBorder="1" applyAlignment="1">
      <alignment horizontal="left" vertical="center"/>
    </xf>
    <xf numFmtId="0" fontId="17" fillId="0" borderId="62" xfId="0" applyNumberFormat="1" applyFont="1" applyFill="1" applyBorder="1" applyAlignment="1">
      <alignment horizontal="left" vertical="center" indent="2"/>
    </xf>
    <xf numFmtId="49" fontId="21" fillId="0" borderId="62" xfId="0" applyNumberFormat="1" applyFont="1" applyFill="1" applyBorder="1" applyAlignment="1">
      <alignment horizontal="left" vertical="center" indent="5"/>
    </xf>
    <xf numFmtId="49" fontId="17" fillId="0" borderId="76" xfId="0" applyNumberFormat="1" applyFont="1" applyFill="1" applyBorder="1" applyAlignment="1">
      <alignment horizontal="left" vertical="center" wrapText="1"/>
    </xf>
    <xf numFmtId="0" fontId="21" fillId="0" borderId="74" xfId="0" applyNumberFormat="1" applyFont="1" applyFill="1" applyBorder="1" applyAlignment="1">
      <alignment/>
    </xf>
    <xf numFmtId="0" fontId="21" fillId="0" borderId="62" xfId="0" applyNumberFormat="1" applyFont="1" applyFill="1" applyBorder="1" applyAlignment="1">
      <alignment/>
    </xf>
    <xf numFmtId="0" fontId="21" fillId="0" borderId="62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top"/>
    </xf>
    <xf numFmtId="0" fontId="17" fillId="0" borderId="62" xfId="0" applyNumberFormat="1" applyFont="1" applyFill="1" applyBorder="1" applyAlignment="1">
      <alignment vertical="center"/>
    </xf>
    <xf numFmtId="0" fontId="21" fillId="0" borderId="62" xfId="0" applyNumberFormat="1" applyFont="1" applyFill="1" applyBorder="1" applyAlignment="1">
      <alignment horizontal="left" vertical="center" indent="1"/>
    </xf>
    <xf numFmtId="0" fontId="21" fillId="0" borderId="62" xfId="0" applyNumberFormat="1" applyFont="1" applyFill="1" applyBorder="1" applyAlignment="1">
      <alignment horizontal="left" vertical="center" indent="4"/>
    </xf>
    <xf numFmtId="0" fontId="21" fillId="0" borderId="24" xfId="0" applyNumberFormat="1" applyFont="1" applyFill="1" applyBorder="1" applyAlignment="1">
      <alignment horizontal="left" vertical="center" indent="4"/>
    </xf>
    <xf numFmtId="0" fontId="17" fillId="0" borderId="24" xfId="0" applyNumberFormat="1" applyFont="1" applyFill="1" applyBorder="1" applyAlignment="1">
      <alignment vertical="center"/>
    </xf>
    <xf numFmtId="165" fontId="17" fillId="0" borderId="21" xfId="83" applyFont="1" applyFill="1" applyBorder="1" applyAlignment="1" applyProtection="1">
      <alignment horizontal="right" vertical="center"/>
      <protection/>
    </xf>
    <xf numFmtId="165" fontId="17" fillId="0" borderId="37" xfId="83" applyFont="1" applyFill="1" applyBorder="1" applyAlignment="1" applyProtection="1">
      <alignment horizontal="right" vertical="center" wrapText="1"/>
      <protection/>
    </xf>
    <xf numFmtId="165" fontId="17" fillId="0" borderId="77" xfId="83" applyFont="1" applyFill="1" applyBorder="1" applyAlignment="1" applyProtection="1">
      <alignment horizontal="left" vertical="center"/>
      <protection/>
    </xf>
    <xf numFmtId="165" fontId="17" fillId="0" borderId="36" xfId="83" applyFont="1" applyFill="1" applyBorder="1" applyAlignment="1" applyProtection="1">
      <alignment horizontal="right" vertical="center"/>
      <protection/>
    </xf>
    <xf numFmtId="165" fontId="17" fillId="0" borderId="37" xfId="83" applyFont="1" applyFill="1" applyBorder="1" applyAlignment="1" applyProtection="1">
      <alignment horizontal="right" vertical="center"/>
      <protection/>
    </xf>
    <xf numFmtId="165" fontId="17" fillId="0" borderId="57" xfId="83" applyFont="1" applyFill="1" applyBorder="1" applyAlignment="1" applyProtection="1">
      <alignment horizontal="right" vertical="center"/>
      <protection/>
    </xf>
    <xf numFmtId="165" fontId="17" fillId="0" borderId="40" xfId="83" applyFont="1" applyFill="1" applyBorder="1" applyAlignment="1" applyProtection="1">
      <alignment horizontal="left" vertical="center"/>
      <protection/>
    </xf>
    <xf numFmtId="165" fontId="21" fillId="0" borderId="37" xfId="83" applyFont="1" applyFill="1" applyBorder="1" applyAlignment="1" applyProtection="1">
      <alignment horizontal="center" vertical="top"/>
      <protection/>
    </xf>
    <xf numFmtId="165" fontId="17" fillId="0" borderId="36" xfId="83" applyFont="1" applyFill="1" applyBorder="1" applyAlignment="1" applyProtection="1">
      <alignment horizontal="center"/>
      <protection/>
    </xf>
    <xf numFmtId="165" fontId="17" fillId="0" borderId="37" xfId="83" applyFont="1" applyFill="1" applyBorder="1" applyAlignment="1" applyProtection="1">
      <alignment vertical="center"/>
      <protection/>
    </xf>
    <xf numFmtId="165" fontId="21" fillId="0" borderId="37" xfId="83" applyFont="1" applyFill="1" applyBorder="1" applyAlignment="1" applyProtection="1">
      <alignment vertical="center"/>
      <protection/>
    </xf>
    <xf numFmtId="165" fontId="17" fillId="0" borderId="77" xfId="83" applyFont="1" applyFill="1" applyBorder="1" applyAlignment="1" applyProtection="1">
      <alignment/>
      <protection/>
    </xf>
    <xf numFmtId="165" fontId="17" fillId="0" borderId="36" xfId="83" applyFont="1" applyFill="1" applyBorder="1" applyAlignment="1" applyProtection="1">
      <alignment vertical="center"/>
      <protection/>
    </xf>
    <xf numFmtId="165" fontId="17" fillId="0" borderId="82" xfId="83" applyFont="1" applyFill="1" applyBorder="1" applyAlignment="1" applyProtection="1">
      <alignment vertical="center"/>
      <protection/>
    </xf>
    <xf numFmtId="165" fontId="17" fillId="0" borderId="77" xfId="83" applyFont="1" applyFill="1" applyBorder="1" applyAlignment="1" applyProtection="1">
      <alignment vertical="center"/>
      <protection/>
    </xf>
    <xf numFmtId="0" fontId="17" fillId="0" borderId="79" xfId="0" applyFont="1" applyFill="1" applyBorder="1" applyAlignment="1">
      <alignment horizontal="center" vertical="center"/>
    </xf>
    <xf numFmtId="40" fontId="21" fillId="0" borderId="58" xfId="0" applyNumberFormat="1" applyFont="1" applyFill="1" applyBorder="1" applyAlignment="1">
      <alignment horizontal="left" vertical="center"/>
    </xf>
    <xf numFmtId="40" fontId="21" fillId="0" borderId="79" xfId="0" applyNumberFormat="1" applyFont="1" applyFill="1" applyBorder="1" applyAlignment="1">
      <alignment horizontal="left" vertical="center"/>
    </xf>
    <xf numFmtId="40" fontId="17" fillId="0" borderId="58" xfId="0" applyNumberFormat="1" applyFont="1" applyFill="1" applyBorder="1" applyAlignment="1">
      <alignment horizontal="left" vertical="center"/>
    </xf>
    <xf numFmtId="40" fontId="21" fillId="0" borderId="60" xfId="0" applyNumberFormat="1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center" vertical="center"/>
    </xf>
    <xf numFmtId="40" fontId="17" fillId="0" borderId="77" xfId="0" applyNumberFormat="1" applyFont="1" applyFill="1" applyBorder="1" applyAlignment="1">
      <alignment horizontal="right" vertical="center"/>
    </xf>
    <xf numFmtId="40" fontId="21" fillId="0" borderId="40" xfId="0" applyNumberFormat="1" applyFont="1" applyFill="1" applyBorder="1" applyAlignment="1">
      <alignment vertical="center"/>
    </xf>
    <xf numFmtId="40" fontId="17" fillId="0" borderId="52" xfId="0" applyNumberFormat="1" applyFont="1" applyFill="1" applyBorder="1" applyAlignment="1">
      <alignment horizontal="left" vertical="center"/>
    </xf>
    <xf numFmtId="40" fontId="17" fillId="0" borderId="66" xfId="0" applyNumberFormat="1" applyFont="1" applyFill="1" applyBorder="1" applyAlignment="1">
      <alignment horizontal="left" vertical="center"/>
    </xf>
    <xf numFmtId="40" fontId="98" fillId="0" borderId="58" xfId="0" applyNumberFormat="1" applyFont="1" applyFill="1" applyBorder="1" applyAlignment="1">
      <alignment horizontal="left" vertical="center"/>
    </xf>
    <xf numFmtId="40" fontId="98" fillId="0" borderId="16" xfId="0" applyNumberFormat="1" applyFont="1" applyFill="1" applyBorder="1" applyAlignment="1">
      <alignment horizontal="left" vertical="center"/>
    </xf>
    <xf numFmtId="165" fontId="21" fillId="0" borderId="35" xfId="83" applyFont="1" applyFill="1" applyBorder="1" applyAlignment="1" applyProtection="1">
      <alignment horizontal="center" vertical="center"/>
      <protection/>
    </xf>
    <xf numFmtId="40" fontId="21" fillId="33" borderId="46" xfId="0" applyNumberFormat="1" applyFont="1" applyFill="1" applyBorder="1" applyAlignment="1">
      <alignment vertical="center"/>
    </xf>
    <xf numFmtId="40" fontId="17" fillId="0" borderId="36" xfId="83" applyNumberFormat="1" applyFont="1" applyFill="1" applyBorder="1" applyAlignment="1" applyProtection="1">
      <alignment horizontal="right" vertical="center"/>
      <protection/>
    </xf>
    <xf numFmtId="40" fontId="17" fillId="0" borderId="22" xfId="0" applyNumberFormat="1" applyFont="1" applyFill="1" applyBorder="1" applyAlignment="1">
      <alignment vertical="center"/>
    </xf>
    <xf numFmtId="40" fontId="21" fillId="0" borderId="83" xfId="0" applyNumberFormat="1" applyFont="1" applyFill="1" applyBorder="1" applyAlignment="1">
      <alignment vertical="center"/>
    </xf>
    <xf numFmtId="40" fontId="17" fillId="0" borderId="77" xfId="0" applyNumberFormat="1" applyFont="1" applyFill="1" applyBorder="1" applyAlignment="1">
      <alignment vertical="center"/>
    </xf>
    <xf numFmtId="40" fontId="17" fillId="0" borderId="79" xfId="0" applyNumberFormat="1" applyFont="1" applyFill="1" applyBorder="1" applyAlignment="1">
      <alignment horizontal="left" vertical="center"/>
    </xf>
    <xf numFmtId="165" fontId="9" fillId="0" borderId="36" xfId="62" applyFont="1" applyFill="1" applyBorder="1" applyAlignment="1" applyProtection="1">
      <alignment horizontal="center" vertical="center"/>
      <protection/>
    </xf>
    <xf numFmtId="165" fontId="0" fillId="0" borderId="37" xfId="62" applyNumberFormat="1" applyFont="1" applyFill="1" applyBorder="1" applyAlignment="1" applyProtection="1">
      <alignment horizontal="center" vertical="center"/>
      <protection/>
    </xf>
    <xf numFmtId="165" fontId="9" fillId="0" borderId="37" xfId="62" applyNumberFormat="1" applyFont="1" applyFill="1" applyBorder="1" applyAlignment="1" applyProtection="1">
      <alignment horizontal="center" vertical="center"/>
      <protection/>
    </xf>
    <xf numFmtId="165" fontId="0" fillId="0" borderId="20" xfId="62" applyFont="1" applyFill="1" applyBorder="1" applyAlignment="1" applyProtection="1">
      <alignment horizontal="center" vertical="center"/>
      <protection/>
    </xf>
    <xf numFmtId="49" fontId="9" fillId="0" borderId="62" xfId="0" applyNumberFormat="1" applyFont="1" applyFill="1" applyBorder="1" applyAlignment="1">
      <alignment vertical="center"/>
    </xf>
    <xf numFmtId="49" fontId="9" fillId="0" borderId="62" xfId="0" applyNumberFormat="1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 indent="2"/>
    </xf>
    <xf numFmtId="0" fontId="3" fillId="0" borderId="80" xfId="0" applyFont="1" applyBorder="1" applyAlignment="1">
      <alignment horizontal="left" vertical="center" indent="3"/>
    </xf>
    <xf numFmtId="0" fontId="3" fillId="0" borderId="80" xfId="0" applyFont="1" applyBorder="1" applyAlignment="1">
      <alignment horizontal="left" vertical="center" indent="2"/>
    </xf>
    <xf numFmtId="0" fontId="3" fillId="0" borderId="80" xfId="0" applyFont="1" applyBorder="1" applyAlignment="1">
      <alignment horizontal="left" vertical="center" indent="1"/>
    </xf>
    <xf numFmtId="49" fontId="4" fillId="0" borderId="80" xfId="0" applyNumberFormat="1" applyFont="1" applyBorder="1" applyAlignment="1">
      <alignment vertical="center"/>
    </xf>
    <xf numFmtId="49" fontId="3" fillId="0" borderId="80" xfId="0" applyNumberFormat="1" applyFont="1" applyBorder="1" applyAlignment="1">
      <alignment horizontal="left" vertical="center" indent="1"/>
    </xf>
    <xf numFmtId="49" fontId="4" fillId="0" borderId="80" xfId="0" applyNumberFormat="1" applyFont="1" applyBorder="1" applyAlignment="1">
      <alignment horizontal="left" vertical="center" indent="2"/>
    </xf>
    <xf numFmtId="49" fontId="3" fillId="0" borderId="80" xfId="0" applyNumberFormat="1" applyFont="1" applyBorder="1" applyAlignment="1">
      <alignment horizontal="left" vertical="center" indent="3"/>
    </xf>
    <xf numFmtId="49" fontId="4" fillId="0" borderId="80" xfId="0" applyNumberFormat="1" applyFont="1" applyBorder="1" applyAlignment="1">
      <alignment horizontal="left" vertical="center" indent="1"/>
    </xf>
    <xf numFmtId="49" fontId="3" fillId="0" borderId="80" xfId="0" applyNumberFormat="1" applyFont="1" applyBorder="1" applyAlignment="1">
      <alignment horizontal="left" vertical="center" indent="2"/>
    </xf>
    <xf numFmtId="49" fontId="4" fillId="0" borderId="75" xfId="0" applyNumberFormat="1" applyFont="1" applyBorder="1" applyAlignment="1">
      <alignment vertical="center"/>
    </xf>
    <xf numFmtId="49" fontId="4" fillId="0" borderId="63" xfId="0" applyNumberFormat="1" applyFont="1" applyBorder="1" applyAlignment="1">
      <alignment vertical="center"/>
    </xf>
    <xf numFmtId="0" fontId="3" fillId="0" borderId="58" xfId="0" applyFont="1" applyBorder="1" applyAlignment="1">
      <alignment/>
    </xf>
    <xf numFmtId="0" fontId="3" fillId="0" borderId="58" xfId="0" applyFont="1" applyFill="1" applyBorder="1" applyAlignment="1">
      <alignment/>
    </xf>
    <xf numFmtId="49" fontId="3" fillId="0" borderId="58" xfId="0" applyNumberFormat="1" applyFont="1" applyBorder="1" applyAlignment="1">
      <alignment horizontal="center"/>
    </xf>
    <xf numFmtId="0" fontId="3" fillId="0" borderId="80" xfId="0" applyFont="1" applyBorder="1" applyAlignment="1">
      <alignment horizontal="justify" vertical="center" wrapText="1"/>
    </xf>
    <xf numFmtId="0" fontId="4" fillId="0" borderId="77" xfId="0" applyFont="1" applyFill="1" applyBorder="1" applyAlignment="1">
      <alignment horizontal="center" vertical="center" wrapText="1"/>
    </xf>
    <xf numFmtId="165" fontId="4" fillId="0" borderId="77" xfId="62" applyFont="1" applyFill="1" applyBorder="1" applyAlignment="1" applyProtection="1">
      <alignment vertical="center" wrapText="1"/>
      <protection/>
    </xf>
    <xf numFmtId="165" fontId="3" fillId="0" borderId="77" xfId="62" applyFont="1" applyFill="1" applyBorder="1" applyAlignment="1" applyProtection="1">
      <alignment vertical="center" wrapText="1"/>
      <protection/>
    </xf>
    <xf numFmtId="165" fontId="4" fillId="0" borderId="22" xfId="62" applyFont="1" applyFill="1" applyBorder="1" applyAlignment="1" applyProtection="1">
      <alignment horizontal="right" vertical="center"/>
      <protection/>
    </xf>
    <xf numFmtId="165" fontId="4" fillId="0" borderId="21" xfId="62" applyFont="1" applyFill="1" applyBorder="1" applyAlignment="1" applyProtection="1">
      <alignment horizontal="right" vertical="center"/>
      <protection/>
    </xf>
    <xf numFmtId="37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80" xfId="55" applyFont="1" applyFill="1" applyBorder="1" applyAlignment="1">
      <alignment horizontal="center" vertical="center"/>
      <protection/>
    </xf>
    <xf numFmtId="165" fontId="3" fillId="0" borderId="80" xfId="72" applyFont="1" applyFill="1" applyBorder="1" applyAlignment="1" applyProtection="1">
      <alignment horizontal="left" vertical="center"/>
      <protection/>
    </xf>
    <xf numFmtId="165" fontId="4" fillId="0" borderId="62" xfId="72" applyFont="1" applyFill="1" applyBorder="1" applyAlignment="1" applyProtection="1">
      <alignment horizontal="left" vertical="center"/>
      <protection/>
    </xf>
    <xf numFmtId="165" fontId="4" fillId="0" borderId="80" xfId="72" applyFont="1" applyFill="1" applyBorder="1" applyAlignment="1" applyProtection="1">
      <alignment horizontal="left" vertical="center"/>
      <protection/>
    </xf>
    <xf numFmtId="165" fontId="3" fillId="0" borderId="75" xfId="72" applyFont="1" applyFill="1" applyBorder="1" applyAlignment="1" applyProtection="1">
      <alignment horizontal="left" vertical="center"/>
      <protection/>
    </xf>
    <xf numFmtId="165" fontId="3" fillId="0" borderId="48" xfId="72" applyFont="1" applyFill="1" applyBorder="1" applyAlignment="1" applyProtection="1">
      <alignment horizontal="left" vertical="center"/>
      <protection/>
    </xf>
    <xf numFmtId="165" fontId="4" fillId="0" borderId="58" xfId="72" applyFont="1" applyFill="1" applyBorder="1" applyAlignment="1" applyProtection="1">
      <alignment horizontal="left" vertical="center"/>
      <protection/>
    </xf>
    <xf numFmtId="165" fontId="4" fillId="0" borderId="75" xfId="72" applyFont="1" applyFill="1" applyBorder="1" applyAlignment="1" applyProtection="1">
      <alignment horizontal="left" vertical="center"/>
      <protection/>
    </xf>
    <xf numFmtId="165" fontId="3" fillId="0" borderId="47" xfId="72" applyFont="1" applyFill="1" applyBorder="1" applyAlignment="1" applyProtection="1">
      <alignment horizontal="left" vertical="center"/>
      <protection/>
    </xf>
    <xf numFmtId="165" fontId="4" fillId="0" borderId="40" xfId="72" applyFont="1" applyFill="1" applyBorder="1" applyAlignment="1" applyProtection="1">
      <alignment horizontal="center" vertical="center" wrapText="1"/>
      <protection/>
    </xf>
    <xf numFmtId="165" fontId="3" fillId="0" borderId="77" xfId="72" applyFont="1" applyFill="1" applyBorder="1" applyAlignment="1" applyProtection="1">
      <alignment horizontal="right" vertical="center"/>
      <protection/>
    </xf>
    <xf numFmtId="4" fontId="4" fillId="0" borderId="37" xfId="55" applyNumberFormat="1" applyFont="1" applyFill="1" applyBorder="1" applyAlignment="1">
      <alignment horizontal="right" vertical="center"/>
      <protection/>
    </xf>
    <xf numFmtId="4" fontId="3" fillId="0" borderId="38" xfId="55" applyNumberFormat="1" applyFont="1" applyBorder="1" applyAlignment="1">
      <alignment vertical="center"/>
      <protection/>
    </xf>
    <xf numFmtId="0" fontId="17" fillId="0" borderId="62" xfId="0" applyFont="1" applyFill="1" applyBorder="1" applyAlignment="1">
      <alignment horizontal="left" vertical="center" wrapText="1" indent="1"/>
    </xf>
    <xf numFmtId="0" fontId="17" fillId="0" borderId="62" xfId="0" applyFont="1" applyFill="1" applyBorder="1" applyAlignment="1">
      <alignment horizontal="left" vertical="center" wrapText="1" indent="2"/>
    </xf>
    <xf numFmtId="0" fontId="21" fillId="0" borderId="62" xfId="0" applyFont="1" applyFill="1" applyBorder="1" applyAlignment="1">
      <alignment horizontal="left" vertical="center" wrapText="1" indent="2"/>
    </xf>
    <xf numFmtId="0" fontId="17" fillId="0" borderId="80" xfId="0" applyFont="1" applyFill="1" applyBorder="1" applyAlignment="1">
      <alignment horizontal="left" vertical="center" wrapText="1" indent="2"/>
    </xf>
    <xf numFmtId="0" fontId="17" fillId="0" borderId="62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 indent="1"/>
    </xf>
    <xf numFmtId="0" fontId="17" fillId="0" borderId="62" xfId="0" applyFont="1" applyFill="1" applyBorder="1" applyAlignment="1">
      <alignment horizontal="left" wrapText="1" indent="1"/>
    </xf>
    <xf numFmtId="0" fontId="21" fillId="0" borderId="62" xfId="0" applyFont="1" applyFill="1" applyBorder="1" applyAlignment="1">
      <alignment horizontal="left" wrapText="1" inden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 indent="1"/>
    </xf>
    <xf numFmtId="0" fontId="21" fillId="0" borderId="58" xfId="0" applyFont="1" applyFill="1" applyBorder="1" applyAlignment="1">
      <alignment horizontal="left" vertical="center" wrapText="1" indent="2"/>
    </xf>
    <xf numFmtId="0" fontId="17" fillId="0" borderId="75" xfId="0" applyFont="1" applyFill="1" applyBorder="1" applyAlignment="1">
      <alignment horizontal="left" vertical="center" wrapText="1"/>
    </xf>
    <xf numFmtId="0" fontId="21" fillId="0" borderId="78" xfId="0" applyFont="1" applyFill="1" applyBorder="1" applyAlignment="1">
      <alignment horizontal="left" vertical="center"/>
    </xf>
    <xf numFmtId="0" fontId="21" fillId="0" borderId="75" xfId="0" applyFont="1" applyFill="1" applyBorder="1" applyAlignment="1">
      <alignment horizontal="left" vertical="center"/>
    </xf>
    <xf numFmtId="49" fontId="17" fillId="0" borderId="58" xfId="0" applyNumberFormat="1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left" vertical="center" indent="1"/>
    </xf>
    <xf numFmtId="49" fontId="17" fillId="0" borderId="75" xfId="0" applyNumberFormat="1" applyFont="1" applyFill="1" applyBorder="1" applyAlignment="1">
      <alignment vertical="center"/>
    </xf>
    <xf numFmtId="0" fontId="17" fillId="0" borderId="74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62" xfId="0" applyFont="1" applyFill="1" applyBorder="1" applyAlignment="1">
      <alignment horizontal="left" vertical="top" wrapText="1"/>
    </xf>
    <xf numFmtId="0" fontId="17" fillId="0" borderId="74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 vertical="center"/>
    </xf>
    <xf numFmtId="3" fontId="3" fillId="0" borderId="42" xfId="54" applyNumberFormat="1" applyFont="1" applyFill="1" applyBorder="1" applyAlignment="1">
      <alignment horizontal="left" vertical="center" indent="1"/>
      <protection/>
    </xf>
    <xf numFmtId="3" fontId="4" fillId="0" borderId="71" xfId="54" applyNumberFormat="1" applyFont="1" applyFill="1" applyBorder="1" applyAlignment="1">
      <alignment horizontal="left" vertical="center"/>
      <protection/>
    </xf>
    <xf numFmtId="0" fontId="4" fillId="0" borderId="42" xfId="54" applyFont="1" applyFill="1" applyBorder="1" applyAlignment="1">
      <alignment horizontal="left" vertical="center"/>
      <protection/>
    </xf>
    <xf numFmtId="49" fontId="0" fillId="0" borderId="62" xfId="0" applyNumberFormat="1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49" fontId="0" fillId="0" borderId="62" xfId="0" applyNumberFormat="1" applyFill="1" applyBorder="1" applyAlignment="1">
      <alignment horizontal="left" vertical="center" wrapText="1"/>
    </xf>
    <xf numFmtId="165" fontId="4" fillId="0" borderId="13" xfId="70" applyFont="1" applyFill="1" applyBorder="1" applyAlignment="1" applyProtection="1">
      <alignment horizontal="right" vertical="center"/>
      <protection/>
    </xf>
    <xf numFmtId="165" fontId="4" fillId="0" borderId="0" xfId="70" applyFont="1" applyFill="1" applyBorder="1" applyAlignment="1" applyProtection="1">
      <alignment horizontal="right" vertical="center"/>
      <protection/>
    </xf>
    <xf numFmtId="165" fontId="4" fillId="0" borderId="22" xfId="70" applyFont="1" applyFill="1" applyBorder="1" applyAlignment="1" applyProtection="1">
      <alignment horizontal="right" vertical="center"/>
      <protection/>
    </xf>
    <xf numFmtId="49" fontId="29" fillId="0" borderId="23" xfId="53" applyNumberFormat="1" applyFont="1" applyFill="1" applyBorder="1" applyAlignment="1">
      <alignment horizontal="center" vertical="center" wrapText="1"/>
      <protection/>
    </xf>
    <xf numFmtId="0" fontId="29" fillId="0" borderId="38" xfId="53" applyFont="1" applyBorder="1" applyAlignment="1">
      <alignment horizontal="center" vertical="center"/>
      <protection/>
    </xf>
    <xf numFmtId="3" fontId="29" fillId="0" borderId="38" xfId="53" applyNumberFormat="1" applyFont="1" applyFill="1" applyBorder="1" applyAlignment="1">
      <alignment horizontal="center" vertical="center"/>
      <protection/>
    </xf>
    <xf numFmtId="3" fontId="4" fillId="0" borderId="38" xfId="53" applyNumberFormat="1" applyFont="1" applyFill="1" applyBorder="1" applyAlignment="1">
      <alignment horizontal="left" vertical="center" wrapText="1"/>
      <protection/>
    </xf>
    <xf numFmtId="9" fontId="3" fillId="0" borderId="23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21" fillId="0" borderId="62" xfId="0" applyNumberFormat="1" applyFont="1" applyFill="1" applyBorder="1" applyAlignment="1">
      <alignment horizontal="left" vertical="center" indent="1"/>
    </xf>
    <xf numFmtId="165" fontId="17" fillId="0" borderId="64" xfId="83" applyFont="1" applyFill="1" applyBorder="1" applyAlignment="1" applyProtection="1">
      <alignment vertical="center"/>
      <protection/>
    </xf>
    <xf numFmtId="0" fontId="17" fillId="0" borderId="38" xfId="0" applyNumberFormat="1" applyFont="1" applyFill="1" applyBorder="1" applyAlignment="1">
      <alignment vertical="center"/>
    </xf>
    <xf numFmtId="165" fontId="17" fillId="0" borderId="38" xfId="83" applyFont="1" applyFill="1" applyBorder="1" applyAlignment="1" applyProtection="1">
      <alignment vertical="center"/>
      <protection/>
    </xf>
    <xf numFmtId="165" fontId="17" fillId="37" borderId="38" xfId="83" applyFont="1" applyFill="1" applyBorder="1" applyAlignment="1" applyProtection="1">
      <alignment vertical="center"/>
      <protection/>
    </xf>
    <xf numFmtId="165" fontId="17" fillId="0" borderId="23" xfId="83" applyFont="1" applyFill="1" applyBorder="1" applyAlignment="1" applyProtection="1">
      <alignment vertical="center"/>
      <protection/>
    </xf>
    <xf numFmtId="165" fontId="17" fillId="0" borderId="47" xfId="83" applyFont="1" applyFill="1" applyBorder="1" applyAlignment="1" applyProtection="1">
      <alignment vertical="center"/>
      <protection/>
    </xf>
    <xf numFmtId="40" fontId="3" fillId="0" borderId="38" xfId="0" applyNumberFormat="1" applyFont="1" applyBorder="1" applyAlignment="1">
      <alignment vertical="center"/>
    </xf>
    <xf numFmtId="40" fontId="3" fillId="0" borderId="21" xfId="0" applyNumberFormat="1" applyFont="1" applyBorder="1" applyAlignment="1">
      <alignment vertical="center"/>
    </xf>
    <xf numFmtId="165" fontId="21" fillId="0" borderId="20" xfId="83" applyFont="1" applyFill="1" applyBorder="1" applyAlignment="1" applyProtection="1">
      <alignment horizontal="center" vertical="center"/>
      <protection/>
    </xf>
    <xf numFmtId="40" fontId="21" fillId="0" borderId="58" xfId="0" applyNumberFormat="1" applyFont="1" applyFill="1" applyBorder="1" applyAlignment="1">
      <alignment vertical="center"/>
    </xf>
    <xf numFmtId="165" fontId="0" fillId="0" borderId="12" xfId="62" applyFont="1" applyFill="1" applyBorder="1" applyAlignment="1" applyProtection="1">
      <alignment horizontal="center" vertical="center"/>
      <protection/>
    </xf>
    <xf numFmtId="165" fontId="28" fillId="0" borderId="12" xfId="62" applyFont="1" applyFill="1" applyBorder="1" applyAlignment="1" applyProtection="1">
      <alignment horizontal="center" vertical="center"/>
      <protection/>
    </xf>
    <xf numFmtId="165" fontId="3" fillId="0" borderId="38" xfId="72" applyFont="1" applyFill="1" applyBorder="1" applyAlignment="1" applyProtection="1">
      <alignment horizontal="right" vertical="center"/>
      <protection/>
    </xf>
    <xf numFmtId="165" fontId="3" fillId="0" borderId="18" xfId="62" applyFont="1" applyFill="1" applyBorder="1" applyAlignment="1">
      <alignment horizontal="right" vertical="center"/>
    </xf>
    <xf numFmtId="4" fontId="4" fillId="0" borderId="26" xfId="55" applyNumberFormat="1" applyFont="1" applyFill="1" applyBorder="1" applyAlignment="1">
      <alignment horizontal="right" vertical="center"/>
      <protection/>
    </xf>
    <xf numFmtId="165" fontId="9" fillId="0" borderId="35" xfId="83" applyFont="1" applyFill="1" applyBorder="1" applyAlignment="1">
      <alignment horizontal="right" vertical="center"/>
    </xf>
    <xf numFmtId="165" fontId="9" fillId="0" borderId="29" xfId="83" applyFont="1" applyFill="1" applyBorder="1" applyAlignment="1">
      <alignment horizontal="right" vertical="center"/>
    </xf>
    <xf numFmtId="165" fontId="3" fillId="0" borderId="38" xfId="72" applyFont="1" applyFill="1" applyBorder="1" applyAlignment="1" applyProtection="1">
      <alignment horizontal="left" vertical="center"/>
      <protection/>
    </xf>
    <xf numFmtId="4" fontId="3" fillId="0" borderId="38" xfId="55" applyNumberFormat="1" applyFont="1" applyFill="1" applyBorder="1" applyAlignment="1">
      <alignment horizontal="right" vertical="center"/>
      <protection/>
    </xf>
    <xf numFmtId="165" fontId="3" fillId="0" borderId="38" xfId="72" applyFont="1" applyFill="1" applyBorder="1" applyAlignment="1" applyProtection="1">
      <alignment horizontal="center" vertical="center" wrapText="1"/>
      <protection/>
    </xf>
    <xf numFmtId="165" fontId="4" fillId="0" borderId="38" xfId="72" applyFont="1" applyFill="1" applyBorder="1" applyAlignment="1" applyProtection="1">
      <alignment horizontal="left" vertical="center"/>
      <protection/>
    </xf>
    <xf numFmtId="165" fontId="4" fillId="0" borderId="38" xfId="83" applyFont="1" applyFill="1" applyBorder="1" applyAlignment="1">
      <alignment horizontal="right" vertical="center"/>
    </xf>
    <xf numFmtId="4" fontId="4" fillId="0" borderId="38" xfId="55" applyNumberFormat="1" applyFont="1" applyFill="1" applyBorder="1" applyAlignment="1">
      <alignment horizontal="right" vertical="center"/>
      <protection/>
    </xf>
    <xf numFmtId="165" fontId="3" fillId="0" borderId="38" xfId="83" applyFont="1" applyFill="1" applyBorder="1" applyAlignment="1" applyProtection="1">
      <alignment horizontal="right" vertical="center"/>
      <protection/>
    </xf>
    <xf numFmtId="165" fontId="3" fillId="0" borderId="38" xfId="83" applyFont="1" applyFill="1" applyBorder="1" applyAlignment="1" applyProtection="1">
      <alignment horizontal="center" vertical="center" wrapText="1"/>
      <protection/>
    </xf>
    <xf numFmtId="165" fontId="3" fillId="0" borderId="38" xfId="83" applyFont="1" applyFill="1" applyBorder="1" applyAlignment="1" applyProtection="1">
      <alignment horizontal="center" wrapText="1"/>
      <protection/>
    </xf>
    <xf numFmtId="49" fontId="4" fillId="0" borderId="38" xfId="55" applyNumberFormat="1" applyFont="1" applyFill="1" applyBorder="1" applyAlignment="1">
      <alignment horizontal="center" vertical="center"/>
      <protection/>
    </xf>
    <xf numFmtId="4" fontId="4" fillId="0" borderId="38" xfId="55" applyNumberFormat="1" applyFont="1" applyBorder="1" applyAlignment="1">
      <alignment vertical="center"/>
      <protection/>
    </xf>
    <xf numFmtId="165" fontId="4" fillId="0" borderId="38" xfId="62" applyFont="1" applyBorder="1" applyAlignment="1">
      <alignment vertical="center"/>
    </xf>
    <xf numFmtId="165" fontId="0" fillId="0" borderId="19" xfId="62" applyFont="1" applyFill="1" applyBorder="1" applyAlignment="1">
      <alignment horizontal="right" vertical="center"/>
    </xf>
    <xf numFmtId="165" fontId="0" fillId="0" borderId="44" xfId="62" applyFont="1" applyFill="1" applyBorder="1" applyAlignment="1">
      <alignment horizontal="right" vertical="center"/>
    </xf>
    <xf numFmtId="165" fontId="0" fillId="0" borderId="45" xfId="62" applyFont="1" applyFill="1" applyBorder="1" applyAlignment="1">
      <alignment horizontal="right" vertical="center"/>
    </xf>
    <xf numFmtId="165" fontId="0" fillId="0" borderId="38" xfId="62" applyFont="1" applyFill="1" applyBorder="1" applyAlignment="1">
      <alignment horizontal="right" vertical="center"/>
    </xf>
    <xf numFmtId="165" fontId="0" fillId="0" borderId="38" xfId="83" applyBorder="1" applyAlignment="1">
      <alignment vertical="center"/>
    </xf>
    <xf numFmtId="4" fontId="4" fillId="0" borderId="14" xfId="55" applyNumberFormat="1" applyFont="1" applyFill="1" applyBorder="1" applyAlignment="1">
      <alignment horizontal="right" vertical="center"/>
      <protection/>
    </xf>
    <xf numFmtId="165" fontId="3" fillId="0" borderId="39" xfId="72" applyFont="1" applyFill="1" applyBorder="1" applyAlignment="1" applyProtection="1">
      <alignment horizontal="right" vertical="center"/>
      <protection/>
    </xf>
    <xf numFmtId="4" fontId="4" fillId="0" borderId="55" xfId="55" applyNumberFormat="1" applyFont="1" applyFill="1" applyBorder="1" applyAlignment="1">
      <alignment horizontal="right" vertical="center"/>
      <protection/>
    </xf>
    <xf numFmtId="4" fontId="3" fillId="0" borderId="45" xfId="55" applyNumberFormat="1" applyFont="1" applyBorder="1" applyAlignment="1">
      <alignment vertical="center"/>
      <protection/>
    </xf>
    <xf numFmtId="40" fontId="21" fillId="33" borderId="30" xfId="0" applyNumberFormat="1" applyFont="1" applyFill="1" applyBorder="1" applyAlignment="1">
      <alignment vertical="center"/>
    </xf>
    <xf numFmtId="0" fontId="3" fillId="0" borderId="0" xfId="56" applyFont="1" applyFill="1" applyAlignment="1">
      <alignment horizontal="left" indent="7"/>
      <protection/>
    </xf>
    <xf numFmtId="0" fontId="4" fillId="0" borderId="0" xfId="56" applyFont="1" applyFill="1" applyBorder="1" applyAlignment="1">
      <alignment horizontal="left" indent="7"/>
      <protection/>
    </xf>
    <xf numFmtId="0" fontId="4" fillId="0" borderId="0" xfId="56" applyFont="1" applyFill="1" applyAlignment="1">
      <alignment horizontal="left" indent="7"/>
      <protection/>
    </xf>
    <xf numFmtId="164" fontId="3" fillId="0" borderId="38" xfId="74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165" fontId="3" fillId="0" borderId="60" xfId="62" applyFont="1" applyFill="1" applyBorder="1" applyAlignment="1">
      <alignment vertical="center"/>
    </xf>
    <xf numFmtId="43" fontId="3" fillId="0" borderId="0" xfId="0" applyNumberFormat="1" applyFont="1" applyBorder="1" applyAlignment="1">
      <alignment/>
    </xf>
    <xf numFmtId="0" fontId="0" fillId="0" borderId="0" xfId="56" applyNumberFormat="1" applyFont="1" applyFill="1" applyBorder="1" applyAlignment="1">
      <alignment vertical="center"/>
      <protection/>
    </xf>
    <xf numFmtId="164" fontId="9" fillId="0" borderId="0" xfId="74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65" fontId="4" fillId="0" borderId="25" xfId="83" applyFont="1" applyFill="1" applyBorder="1" applyAlignment="1" applyProtection="1">
      <alignment horizontal="center" vertical="center" wrapText="1"/>
      <protection/>
    </xf>
    <xf numFmtId="165" fontId="4" fillId="0" borderId="11" xfId="83" applyFont="1" applyFill="1" applyBorder="1" applyAlignment="1" applyProtection="1">
      <alignment horizontal="left" vertical="center"/>
      <protection/>
    </xf>
    <xf numFmtId="49" fontId="3" fillId="0" borderId="62" xfId="0" applyNumberFormat="1" applyFont="1" applyFill="1" applyBorder="1" applyAlignment="1">
      <alignment horizontal="left" vertical="center" indent="2"/>
    </xf>
    <xf numFmtId="165" fontId="3" fillId="0" borderId="11" xfId="83" applyFont="1" applyFill="1" applyBorder="1" applyAlignment="1" applyProtection="1">
      <alignment horizontal="left" vertical="center"/>
      <protection/>
    </xf>
    <xf numFmtId="165" fontId="4" fillId="0" borderId="19" xfId="83" applyFont="1" applyFill="1" applyBorder="1" applyAlignment="1" applyProtection="1">
      <alignment horizontal="left" vertical="center"/>
      <protection/>
    </xf>
    <xf numFmtId="40" fontId="21" fillId="0" borderId="62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/>
    </xf>
    <xf numFmtId="40" fontId="21" fillId="0" borderId="21" xfId="0" applyNumberFormat="1" applyFont="1" applyFill="1" applyBorder="1" applyAlignment="1">
      <alignment horizontal="right" vertical="center"/>
    </xf>
    <xf numFmtId="40" fontId="21" fillId="0" borderId="20" xfId="0" applyNumberFormat="1" applyFont="1" applyFill="1" applyBorder="1" applyAlignment="1">
      <alignment horizontal="right" vertical="center"/>
    </xf>
    <xf numFmtId="40" fontId="21" fillId="0" borderId="23" xfId="0" applyNumberFormat="1" applyFont="1" applyFill="1" applyBorder="1" applyAlignment="1">
      <alignment horizontal="right" vertical="center"/>
    </xf>
    <xf numFmtId="40" fontId="21" fillId="0" borderId="0" xfId="0" applyNumberFormat="1" applyFont="1" applyFill="1" applyBorder="1" applyAlignment="1">
      <alignment horizontal="right" vertical="center"/>
    </xf>
    <xf numFmtId="40" fontId="21" fillId="0" borderId="58" xfId="0" applyNumberFormat="1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/>
    </xf>
    <xf numFmtId="0" fontId="4" fillId="0" borderId="58" xfId="0" applyFont="1" applyBorder="1" applyAlignment="1">
      <alignment/>
    </xf>
    <xf numFmtId="165" fontId="4" fillId="0" borderId="11" xfId="83" applyFont="1" applyFill="1" applyBorder="1" applyAlignment="1" applyProtection="1">
      <alignment horizontal="center"/>
      <protection/>
    </xf>
    <xf numFmtId="165" fontId="4" fillId="0" borderId="11" xfId="83" applyFont="1" applyFill="1" applyBorder="1" applyAlignment="1" applyProtection="1">
      <alignment vertical="center"/>
      <protection/>
    </xf>
    <xf numFmtId="165" fontId="4" fillId="0" borderId="25" xfId="83" applyFont="1" applyFill="1" applyBorder="1" applyAlignment="1" applyProtection="1">
      <alignment/>
      <protection/>
    </xf>
    <xf numFmtId="165" fontId="4" fillId="0" borderId="10" xfId="83" applyFont="1" applyFill="1" applyBorder="1" applyAlignment="1" applyProtection="1">
      <alignment vertical="center"/>
      <protection/>
    </xf>
    <xf numFmtId="165" fontId="4" fillId="0" borderId="25" xfId="83" applyFont="1" applyFill="1" applyBorder="1" applyAlignment="1" applyProtection="1">
      <alignment horizontal="right" vertical="center"/>
      <protection/>
    </xf>
    <xf numFmtId="165" fontId="4" fillId="0" borderId="44" xfId="83" applyFont="1" applyFill="1" applyBorder="1" applyAlignment="1" applyProtection="1">
      <alignment vertical="center"/>
      <protection/>
    </xf>
    <xf numFmtId="0" fontId="4" fillId="0" borderId="80" xfId="0" applyNumberFormat="1" applyFont="1" applyFill="1" applyBorder="1" applyAlignment="1">
      <alignment vertical="center"/>
    </xf>
    <xf numFmtId="49" fontId="4" fillId="0" borderId="62" xfId="0" applyNumberFormat="1" applyFont="1" applyFill="1" applyBorder="1" applyAlignment="1">
      <alignment horizontal="left" vertical="center"/>
    </xf>
    <xf numFmtId="0" fontId="4" fillId="0" borderId="74" xfId="0" applyNumberFormat="1" applyFont="1" applyFill="1" applyBorder="1" applyAlignment="1">
      <alignment vertical="center"/>
    </xf>
    <xf numFmtId="49" fontId="9" fillId="0" borderId="80" xfId="0" applyNumberFormat="1" applyFont="1" applyBorder="1" applyAlignment="1">
      <alignment vertical="center"/>
    </xf>
    <xf numFmtId="40" fontId="9" fillId="37" borderId="38" xfId="0" applyNumberFormat="1" applyFont="1" applyFill="1" applyBorder="1" applyAlignment="1">
      <alignment vertical="center"/>
    </xf>
    <xf numFmtId="40" fontId="3" fillId="0" borderId="38" xfId="0" applyNumberFormat="1" applyFont="1" applyBorder="1" applyAlignment="1">
      <alignment horizontal="left" vertical="center"/>
    </xf>
    <xf numFmtId="40" fontId="9" fillId="0" borderId="38" xfId="0" applyNumberFormat="1" applyFont="1" applyBorder="1" applyAlignment="1">
      <alignment horizontal="center" wrapText="1"/>
    </xf>
    <xf numFmtId="40" fontId="4" fillId="37" borderId="38" xfId="0" applyNumberFormat="1" applyFont="1" applyFill="1" applyBorder="1" applyAlignment="1">
      <alignment vertical="center"/>
    </xf>
    <xf numFmtId="0" fontId="3" fillId="0" borderId="69" xfId="0" applyFont="1" applyBorder="1" applyAlignment="1">
      <alignment/>
    </xf>
    <xf numFmtId="40" fontId="0" fillId="0" borderId="23" xfId="0" applyNumberFormat="1" applyFont="1" applyBorder="1" applyAlignment="1">
      <alignment vertical="center"/>
    </xf>
    <xf numFmtId="40" fontId="0" fillId="0" borderId="38" xfId="0" applyNumberFormat="1" applyFont="1" applyBorder="1" applyAlignment="1">
      <alignment vertical="center"/>
    </xf>
    <xf numFmtId="40" fontId="9" fillId="0" borderId="0" xfId="0" applyNumberFormat="1" applyFont="1" applyBorder="1" applyAlignment="1">
      <alignment vertical="center"/>
    </xf>
    <xf numFmtId="37" fontId="9" fillId="37" borderId="38" xfId="0" applyNumberFormat="1" applyFont="1" applyFill="1" applyBorder="1" applyAlignment="1">
      <alignment horizontal="center" vertical="center"/>
    </xf>
    <xf numFmtId="37" fontId="9" fillId="37" borderId="38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38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96" fillId="0" borderId="0" xfId="50" applyFont="1" applyAlignment="1">
      <alignment horizontal="center" readingOrder="2"/>
      <protection/>
    </xf>
    <xf numFmtId="0" fontId="97" fillId="0" borderId="0" xfId="50" applyFont="1" applyBorder="1" applyAlignment="1">
      <alignment horizontal="center" readingOrder="2"/>
      <protection/>
    </xf>
    <xf numFmtId="49" fontId="0" fillId="33" borderId="38" xfId="56" applyNumberFormat="1" applyFont="1" applyFill="1" applyBorder="1" applyAlignment="1">
      <alignment horizontal="center" vertical="center" wrapText="1"/>
      <protection/>
    </xf>
    <xf numFmtId="0" fontId="0" fillId="0" borderId="38" xfId="0" applyFont="1" applyBorder="1" applyAlignment="1">
      <alignment vertical="center"/>
    </xf>
    <xf numFmtId="49" fontId="0" fillId="33" borderId="38" xfId="56" applyNumberFormat="1" applyFont="1" applyFill="1" applyBorder="1" applyAlignment="1">
      <alignment vertical="center" wrapText="1"/>
      <protection/>
    </xf>
    <xf numFmtId="49" fontId="0" fillId="33" borderId="42" xfId="56" applyNumberFormat="1" applyFont="1" applyFill="1" applyBorder="1" applyAlignment="1">
      <alignment horizontal="center" vertical="center" wrapText="1"/>
      <protection/>
    </xf>
    <xf numFmtId="49" fontId="0" fillId="33" borderId="45" xfId="56" applyNumberFormat="1" applyFont="1" applyFill="1" applyBorder="1" applyAlignment="1">
      <alignment horizontal="center" vertical="center" wrapText="1"/>
      <protection/>
    </xf>
    <xf numFmtId="49" fontId="0" fillId="33" borderId="45" xfId="56" applyNumberFormat="1" applyFont="1" applyFill="1" applyBorder="1" applyAlignment="1">
      <alignment vertical="center" wrapText="1"/>
      <protection/>
    </xf>
    <xf numFmtId="49" fontId="0" fillId="33" borderId="69" xfId="56" applyNumberFormat="1" applyFont="1" applyFill="1" applyBorder="1" applyAlignment="1">
      <alignment horizontal="center" vertical="center" wrapText="1"/>
      <protection/>
    </xf>
    <xf numFmtId="49" fontId="0" fillId="37" borderId="38" xfId="56" applyNumberFormat="1" applyFont="1" applyFill="1" applyBorder="1" applyAlignment="1">
      <alignment vertical="center" wrapText="1"/>
      <protection/>
    </xf>
    <xf numFmtId="49" fontId="0" fillId="37" borderId="38" xfId="56" applyNumberFormat="1" applyFont="1" applyFill="1" applyBorder="1" applyAlignment="1">
      <alignment horizontal="center" vertical="center" wrapText="1"/>
      <protection/>
    </xf>
    <xf numFmtId="0" fontId="0" fillId="38" borderId="60" xfId="52" applyFont="1" applyFill="1" applyBorder="1" applyAlignment="1">
      <alignment horizontal="left" vertical="center" wrapText="1"/>
      <protection/>
    </xf>
    <xf numFmtId="0" fontId="0" fillId="38" borderId="30" xfId="52" applyFont="1" applyFill="1" applyBorder="1" applyAlignment="1">
      <alignment horizontal="left" vertical="center" wrapText="1"/>
      <protection/>
    </xf>
    <xf numFmtId="0" fontId="0" fillId="38" borderId="0" xfId="52" applyFont="1" applyFill="1" applyBorder="1" applyAlignment="1">
      <alignment horizontal="left" vertical="center" wrapText="1"/>
      <protection/>
    </xf>
    <xf numFmtId="0" fontId="0" fillId="33" borderId="38" xfId="0" applyFont="1" applyFill="1" applyBorder="1" applyAlignment="1">
      <alignment vertical="center"/>
    </xf>
    <xf numFmtId="4" fontId="9" fillId="0" borderId="38" xfId="56" applyNumberFormat="1" applyFont="1" applyFill="1" applyBorder="1" applyAlignment="1">
      <alignment vertical="center"/>
      <protection/>
    </xf>
    <xf numFmtId="4" fontId="0" fillId="0" borderId="38" xfId="56" applyNumberFormat="1" applyFont="1" applyFill="1" applyBorder="1" applyAlignment="1">
      <alignment vertical="center"/>
      <protection/>
    </xf>
    <xf numFmtId="0" fontId="9" fillId="33" borderId="38" xfId="56" applyFont="1" applyFill="1" applyBorder="1" applyAlignment="1">
      <alignment horizontal="center" vertical="center" wrapText="1"/>
      <protection/>
    </xf>
    <xf numFmtId="4" fontId="9" fillId="37" borderId="38" xfId="56" applyNumberFormat="1" applyFont="1" applyFill="1" applyBorder="1" applyAlignment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0" fillId="0" borderId="0" xfId="56" applyFont="1" applyFill="1" applyBorder="1" applyAlignment="1">
      <alignment horizontal="center" vertical="center"/>
      <protection/>
    </xf>
    <xf numFmtId="0" fontId="0" fillId="33" borderId="38" xfId="0" applyFont="1" applyFill="1" applyBorder="1" applyAlignment="1">
      <alignment vertical="center"/>
    </xf>
    <xf numFmtId="0" fontId="0" fillId="33" borderId="52" xfId="56" applyFont="1" applyFill="1" applyBorder="1" applyAlignment="1">
      <alignment horizontal="left" vertical="center" wrapText="1"/>
      <protection/>
    </xf>
    <xf numFmtId="0" fontId="0" fillId="33" borderId="32" xfId="56" applyFont="1" applyFill="1" applyBorder="1" applyAlignment="1">
      <alignment horizontal="left" vertical="center" wrapText="1"/>
      <protection/>
    </xf>
    <xf numFmtId="0" fontId="0" fillId="33" borderId="59" xfId="56" applyFont="1" applyFill="1" applyBorder="1" applyAlignment="1">
      <alignment horizontal="left" vertical="center" wrapText="1"/>
      <protection/>
    </xf>
    <xf numFmtId="164" fontId="0" fillId="0" borderId="21" xfId="56" applyNumberFormat="1" applyFont="1" applyFill="1" applyBorder="1" applyAlignment="1">
      <alignment vertical="center"/>
      <protection/>
    </xf>
    <xf numFmtId="39" fontId="0" fillId="0" borderId="42" xfId="56" applyNumberFormat="1" applyFont="1" applyFill="1" applyBorder="1" applyAlignment="1">
      <alignment vertical="center"/>
      <protection/>
    </xf>
    <xf numFmtId="39" fontId="0" fillId="0" borderId="69" xfId="56" applyNumberFormat="1" applyFont="1" applyFill="1" applyBorder="1" applyAlignment="1">
      <alignment vertical="center"/>
      <protection/>
    </xf>
    <xf numFmtId="164" fontId="0" fillId="0" borderId="42" xfId="56" applyNumberFormat="1" applyFont="1" applyFill="1" applyBorder="1" applyAlignment="1">
      <alignment vertical="center"/>
      <protection/>
    </xf>
    <xf numFmtId="0" fontId="0" fillId="0" borderId="69" xfId="56" applyFont="1" applyFill="1" applyBorder="1" applyAlignment="1">
      <alignment horizontal="center" vertical="center"/>
      <protection/>
    </xf>
    <xf numFmtId="165" fontId="0" fillId="0" borderId="52" xfId="62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0" fillId="33" borderId="23" xfId="83" applyFill="1" applyBorder="1" applyAlignment="1">
      <alignment horizontal="center" vertical="center" wrapText="1"/>
    </xf>
    <xf numFmtId="165" fontId="0" fillId="33" borderId="69" xfId="83" applyFill="1" applyBorder="1" applyAlignment="1">
      <alignment horizontal="center" vertical="center" wrapText="1"/>
    </xf>
    <xf numFmtId="165" fontId="0" fillId="33" borderId="38" xfId="83" applyFill="1" applyBorder="1" applyAlignment="1">
      <alignment horizontal="center" vertical="center" wrapText="1"/>
    </xf>
    <xf numFmtId="165" fontId="0" fillId="0" borderId="23" xfId="83" applyBorder="1" applyAlignment="1">
      <alignment horizontal="center" vertical="center" wrapText="1"/>
    </xf>
    <xf numFmtId="165" fontId="0" fillId="0" borderId="38" xfId="83" applyFill="1" applyBorder="1" applyAlignment="1">
      <alignment horizontal="center" vertical="center"/>
    </xf>
    <xf numFmtId="165" fontId="0" fillId="0" borderId="38" xfId="83" applyFill="1" applyBorder="1" applyAlignment="1">
      <alignment vertical="center"/>
    </xf>
    <xf numFmtId="165" fontId="0" fillId="0" borderId="69" xfId="83" applyFill="1" applyBorder="1" applyAlignment="1">
      <alignment horizontal="right" vertical="center"/>
    </xf>
    <xf numFmtId="165" fontId="0" fillId="33" borderId="38" xfId="83" applyFill="1" applyBorder="1" applyAlignment="1">
      <alignment vertical="center"/>
    </xf>
    <xf numFmtId="165" fontId="0" fillId="0" borderId="42" xfId="83" applyFill="1" applyBorder="1" applyAlignment="1">
      <alignment vertical="center"/>
    </xf>
    <xf numFmtId="165" fontId="0" fillId="0" borderId="38" xfId="83" applyFill="1" applyBorder="1" applyAlignment="1">
      <alignment horizontal="right" vertical="center"/>
    </xf>
    <xf numFmtId="164" fontId="9" fillId="37" borderId="21" xfId="56" applyNumberFormat="1" applyFont="1" applyFill="1" applyBorder="1" applyAlignment="1">
      <alignment horizontal="center" vertical="center"/>
      <protection/>
    </xf>
    <xf numFmtId="165" fontId="0" fillId="0" borderId="60" xfId="62" applyFont="1" applyFill="1" applyBorder="1" applyAlignment="1">
      <alignment vertical="center"/>
    </xf>
    <xf numFmtId="165" fontId="0" fillId="0" borderId="60" xfId="62" applyFont="1" applyFill="1" applyBorder="1" applyAlignment="1">
      <alignment horizontal="right" vertical="center"/>
    </xf>
    <xf numFmtId="165" fontId="0" fillId="37" borderId="60" xfId="62" applyFont="1" applyFill="1" applyBorder="1" applyAlignment="1">
      <alignment vertical="center"/>
    </xf>
    <xf numFmtId="0" fontId="9" fillId="0" borderId="58" xfId="56" applyFont="1" applyFill="1" applyBorder="1" applyAlignment="1">
      <alignment vertical="center" wrapText="1"/>
      <protection/>
    </xf>
    <xf numFmtId="0" fontId="9" fillId="0" borderId="0" xfId="56" applyFont="1" applyFill="1" applyBorder="1" applyAlignment="1">
      <alignment vertical="center" wrapText="1"/>
      <protection/>
    </xf>
    <xf numFmtId="4" fontId="9" fillId="0" borderId="0" xfId="56" applyNumberFormat="1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horizontal="right" vertical="center"/>
      <protection/>
    </xf>
    <xf numFmtId="10" fontId="9" fillId="0" borderId="0" xfId="5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38" xfId="85" applyFont="1" applyBorder="1" applyAlignment="1">
      <alignment vertical="center"/>
    </xf>
    <xf numFmtId="4" fontId="0" fillId="0" borderId="0" xfId="56" applyNumberFormat="1" applyFont="1" applyFill="1" applyBorder="1" applyAlignment="1">
      <alignment vertical="center"/>
      <protection/>
    </xf>
    <xf numFmtId="4" fontId="0" fillId="0" borderId="0" xfId="56" applyNumberFormat="1" applyFont="1" applyFill="1" applyBorder="1" applyAlignment="1">
      <alignment horizontal="right" vertical="center"/>
      <protection/>
    </xf>
    <xf numFmtId="10" fontId="0" fillId="0" borderId="0" xfId="59" applyNumberFormat="1" applyFont="1" applyFill="1" applyBorder="1" applyAlignment="1">
      <alignment vertical="center"/>
    </xf>
    <xf numFmtId="4" fontId="0" fillId="0" borderId="38" xfId="56" applyNumberFormat="1" applyFont="1" applyFill="1" applyBorder="1" applyAlignment="1">
      <alignment horizontal="right" vertical="center"/>
      <protection/>
    </xf>
    <xf numFmtId="49" fontId="0" fillId="33" borderId="42" xfId="56" applyNumberFormat="1" applyFont="1" applyFill="1" applyBorder="1" applyAlignment="1">
      <alignment horizontal="left" vertical="center" wrapText="1"/>
      <protection/>
    </xf>
    <xf numFmtId="49" fontId="0" fillId="33" borderId="45" xfId="56" applyNumberFormat="1" applyFont="1" applyFill="1" applyBorder="1" applyAlignment="1">
      <alignment horizontal="left" vertical="center" wrapText="1"/>
      <protection/>
    </xf>
    <xf numFmtId="0" fontId="9" fillId="37" borderId="38" xfId="0" applyFont="1" applyFill="1" applyBorder="1" applyAlignment="1">
      <alignment horizontal="center" vertical="center"/>
    </xf>
    <xf numFmtId="4" fontId="9" fillId="37" borderId="69" xfId="56" applyNumberFormat="1" applyFont="1" applyFill="1" applyBorder="1" applyAlignment="1">
      <alignment horizontal="center" vertical="center"/>
      <protection/>
    </xf>
    <xf numFmtId="4" fontId="9" fillId="37" borderId="42" xfId="56" applyNumberFormat="1" applyFont="1" applyFill="1" applyBorder="1" applyAlignment="1">
      <alignment horizontal="center" vertical="center" wrapText="1"/>
      <protection/>
    </xf>
    <xf numFmtId="4" fontId="9" fillId="37" borderId="38" xfId="56" applyNumberFormat="1" applyFont="1" applyFill="1" applyBorder="1" applyAlignment="1">
      <alignment horizontal="center" vertical="center"/>
      <protection/>
    </xf>
    <xf numFmtId="49" fontId="9" fillId="37" borderId="38" xfId="56" applyNumberFormat="1" applyFont="1" applyFill="1" applyBorder="1" applyAlignment="1">
      <alignment horizontal="center" vertical="center" wrapText="1"/>
      <protection/>
    </xf>
    <xf numFmtId="49" fontId="9" fillId="37" borderId="23" xfId="56" applyNumberFormat="1" applyFont="1" applyFill="1" applyBorder="1" applyAlignment="1">
      <alignment horizontal="center" vertical="center" wrapText="1"/>
      <protection/>
    </xf>
    <xf numFmtId="49" fontId="9" fillId="37" borderId="38" xfId="56" applyNumberFormat="1" applyFont="1" applyFill="1" applyBorder="1" applyAlignment="1">
      <alignment vertical="center" wrapText="1"/>
      <protection/>
    </xf>
    <xf numFmtId="49" fontId="9" fillId="33" borderId="38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4" fillId="37" borderId="0" xfId="0" applyFont="1" applyFill="1" applyAlignment="1">
      <alignment vertical="center"/>
    </xf>
    <xf numFmtId="165" fontId="0" fillId="38" borderId="38" xfId="52" applyNumberFormat="1" applyFont="1" applyFill="1" applyBorder="1" applyAlignment="1">
      <alignment horizontal="center" vertical="center" wrapText="1"/>
      <protection/>
    </xf>
    <xf numFmtId="43" fontId="0" fillId="38" borderId="38" xfId="52" applyNumberFormat="1" applyFont="1" applyFill="1" applyBorder="1" applyAlignment="1">
      <alignment vertical="center" wrapText="1"/>
      <protection/>
    </xf>
    <xf numFmtId="43" fontId="0" fillId="37" borderId="38" xfId="0" applyNumberFormat="1" applyFont="1" applyFill="1" applyBorder="1" applyAlignment="1">
      <alignment vertical="center"/>
    </xf>
    <xf numFmtId="43" fontId="0" fillId="37" borderId="38" xfId="52" applyNumberFormat="1" applyFont="1" applyFill="1" applyBorder="1" applyAlignment="1">
      <alignment horizontal="center" vertical="center" wrapText="1"/>
      <protection/>
    </xf>
    <xf numFmtId="165" fontId="0" fillId="37" borderId="38" xfId="83" applyFill="1" applyBorder="1" applyAlignment="1">
      <alignment vertical="center"/>
    </xf>
    <xf numFmtId="43" fontId="0" fillId="0" borderId="60" xfId="56" applyNumberFormat="1" applyFont="1" applyFill="1" applyBorder="1" applyAlignment="1">
      <alignment vertical="center"/>
      <protection/>
    </xf>
    <xf numFmtId="0" fontId="9" fillId="33" borderId="32" xfId="56" applyFont="1" applyFill="1" applyBorder="1" applyAlignment="1">
      <alignment horizontal="left" vertical="center" wrapText="1"/>
      <protection/>
    </xf>
    <xf numFmtId="43" fontId="9" fillId="33" borderId="32" xfId="56" applyNumberFormat="1" applyFont="1" applyFill="1" applyBorder="1" applyAlignment="1">
      <alignment horizontal="center" vertical="center" wrapText="1"/>
      <protection/>
    </xf>
    <xf numFmtId="0" fontId="9" fillId="33" borderId="32" xfId="56" applyFont="1" applyFill="1" applyBorder="1" applyAlignment="1">
      <alignment horizontal="center" vertical="center" wrapText="1"/>
      <protection/>
    </xf>
    <xf numFmtId="0" fontId="9" fillId="33" borderId="0" xfId="56" applyFont="1" applyFill="1" applyBorder="1" applyAlignment="1">
      <alignment horizontal="left" vertical="center" wrapText="1"/>
      <protection/>
    </xf>
    <xf numFmtId="43" fontId="9" fillId="33" borderId="0" xfId="56" applyNumberFormat="1" applyFont="1" applyFill="1" applyBorder="1" applyAlignment="1">
      <alignment horizontal="center" vertical="center" wrapText="1"/>
      <protection/>
    </xf>
    <xf numFmtId="0" fontId="9" fillId="33" borderId="0" xfId="56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40" fontId="3" fillId="0" borderId="0" xfId="56" applyNumberFormat="1" applyFont="1" applyFill="1" applyBorder="1" applyAlignment="1">
      <alignment vertical="center"/>
      <protection/>
    </xf>
    <xf numFmtId="4" fontId="9" fillId="37" borderId="21" xfId="56" applyNumberFormat="1" applyFont="1" applyFill="1" applyBorder="1" applyAlignment="1">
      <alignment vertical="center"/>
      <protection/>
    </xf>
    <xf numFmtId="4" fontId="9" fillId="33" borderId="0" xfId="56" applyNumberFormat="1" applyFont="1" applyFill="1" applyBorder="1" applyAlignment="1">
      <alignment vertical="center"/>
      <protection/>
    </xf>
    <xf numFmtId="10" fontId="9" fillId="33" borderId="0" xfId="59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" fontId="9" fillId="33" borderId="32" xfId="56" applyNumberFormat="1" applyFont="1" applyFill="1" applyBorder="1" applyAlignment="1">
      <alignment vertical="center"/>
      <protection/>
    </xf>
    <xf numFmtId="10" fontId="9" fillId="33" borderId="32" xfId="59" applyNumberFormat="1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4" fontId="3" fillId="0" borderId="42" xfId="54" applyNumberFormat="1" applyFont="1" applyFill="1" applyBorder="1" applyAlignment="1">
      <alignment horizontal="left" vertical="center" wrapText="1"/>
      <protection/>
    </xf>
    <xf numFmtId="3" fontId="4" fillId="0" borderId="42" xfId="54" applyNumberFormat="1" applyFont="1" applyFill="1" applyBorder="1" applyAlignment="1">
      <alignment horizontal="left" vertical="center"/>
      <protection/>
    </xf>
    <xf numFmtId="0" fontId="4" fillId="37" borderId="38" xfId="54" applyFont="1" applyFill="1" applyBorder="1" applyAlignment="1">
      <alignment horizontal="left" vertical="center"/>
      <protection/>
    </xf>
    <xf numFmtId="165" fontId="4" fillId="37" borderId="38" xfId="71" applyFont="1" applyFill="1" applyBorder="1" applyAlignment="1" applyProtection="1">
      <alignment horizontal="right" vertical="center"/>
      <protection/>
    </xf>
    <xf numFmtId="0" fontId="3" fillId="37" borderId="0" xfId="54" applyFont="1" applyFill="1" applyBorder="1" applyAlignment="1">
      <alignment horizontal="center" vertical="center"/>
      <protection/>
    </xf>
    <xf numFmtId="0" fontId="3" fillId="37" borderId="0" xfId="54" applyFont="1" applyFill="1" applyAlignment="1">
      <alignment horizontal="center" vertical="center"/>
      <protection/>
    </xf>
    <xf numFmtId="49" fontId="9" fillId="0" borderId="74" xfId="0" applyNumberFormat="1" applyFont="1" applyFill="1" applyBorder="1" applyAlignment="1">
      <alignment vertical="center"/>
    </xf>
    <xf numFmtId="165" fontId="9" fillId="0" borderId="13" xfId="62" applyFont="1" applyFill="1" applyBorder="1" applyAlignment="1" applyProtection="1">
      <alignment horizontal="right" vertical="center"/>
      <protection/>
    </xf>
    <xf numFmtId="165" fontId="9" fillId="0" borderId="21" xfId="62" applyFont="1" applyFill="1" applyBorder="1" applyAlignment="1" applyProtection="1">
      <alignment horizontal="center" vertical="center"/>
      <protection/>
    </xf>
    <xf numFmtId="165" fontId="9" fillId="0" borderId="21" xfId="62" applyFont="1" applyFill="1" applyBorder="1" applyAlignment="1" applyProtection="1">
      <alignment horizontal="right" vertical="center"/>
      <protection/>
    </xf>
    <xf numFmtId="165" fontId="9" fillId="0" borderId="36" xfId="62" applyFont="1" applyFill="1" applyBorder="1" applyAlignment="1" applyProtection="1">
      <alignment horizontal="right" vertical="center"/>
      <protection/>
    </xf>
    <xf numFmtId="49" fontId="0" fillId="0" borderId="38" xfId="0" applyNumberFormat="1" applyFont="1" applyFill="1" applyBorder="1" applyAlignment="1">
      <alignment vertical="center"/>
    </xf>
    <xf numFmtId="165" fontId="0" fillId="0" borderId="38" xfId="62" applyFont="1" applyFill="1" applyBorder="1" applyAlignment="1" applyProtection="1">
      <alignment horizontal="right" vertical="center"/>
      <protection/>
    </xf>
    <xf numFmtId="165" fontId="0" fillId="0" borderId="38" xfId="62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0" fontId="17" fillId="0" borderId="38" xfId="0" applyNumberFormat="1" applyFont="1" applyFill="1" applyBorder="1" applyAlignment="1">
      <alignment horizontal="right" vertical="center"/>
    </xf>
    <xf numFmtId="165" fontId="3" fillId="33" borderId="20" xfId="83" applyFont="1" applyFill="1" applyBorder="1" applyAlignment="1">
      <alignment vertical="center"/>
    </xf>
    <xf numFmtId="165" fontId="3" fillId="0" borderId="11" xfId="62" applyFont="1" applyFill="1" applyBorder="1" applyAlignment="1" applyProtection="1">
      <alignment vertical="center"/>
      <protection/>
    </xf>
    <xf numFmtId="165" fontId="3" fillId="0" borderId="12" xfId="83" applyFont="1" applyFill="1" applyBorder="1" applyAlignment="1" applyProtection="1">
      <alignment horizontal="center" vertical="center"/>
      <protection/>
    </xf>
    <xf numFmtId="165" fontId="3" fillId="33" borderId="11" xfId="83" applyFont="1" applyFill="1" applyBorder="1" applyAlignment="1" applyProtection="1">
      <alignment vertical="center"/>
      <protection/>
    </xf>
    <xf numFmtId="165" fontId="4" fillId="33" borderId="25" xfId="83" applyFont="1" applyFill="1" applyBorder="1" applyAlignment="1" applyProtection="1">
      <alignment/>
      <protection/>
    </xf>
    <xf numFmtId="165" fontId="4" fillId="0" borderId="49" xfId="83" applyFont="1" applyFill="1" applyBorder="1" applyAlignment="1" applyProtection="1">
      <alignment vertical="center"/>
      <protection/>
    </xf>
    <xf numFmtId="165" fontId="4" fillId="0" borderId="15" xfId="83" applyFont="1" applyFill="1" applyBorder="1" applyAlignment="1" applyProtection="1">
      <alignment horizontal="right" vertical="center"/>
      <protection/>
    </xf>
    <xf numFmtId="165" fontId="4" fillId="0" borderId="12" xfId="83" applyFont="1" applyFill="1" applyBorder="1" applyAlignment="1" applyProtection="1">
      <alignment vertical="center"/>
      <protection/>
    </xf>
    <xf numFmtId="165" fontId="4" fillId="0" borderId="27" xfId="83" applyFont="1" applyFill="1" applyBorder="1" applyAlignment="1" applyProtection="1">
      <alignment vertical="center"/>
      <protection/>
    </xf>
    <xf numFmtId="0" fontId="4" fillId="0" borderId="80" xfId="55" applyFont="1" applyFill="1" applyBorder="1" applyAlignment="1">
      <alignment horizontal="left" vertical="center"/>
      <protection/>
    </xf>
    <xf numFmtId="165" fontId="4" fillId="0" borderId="19" xfId="72" applyFont="1" applyFill="1" applyBorder="1" applyAlignment="1" applyProtection="1">
      <alignment horizontal="right" vertical="center"/>
      <protection/>
    </xf>
    <xf numFmtId="165" fontId="4" fillId="0" borderId="19" xfId="62" applyFont="1" applyFill="1" applyBorder="1" applyAlignment="1">
      <alignment horizontal="right" vertical="center"/>
    </xf>
    <xf numFmtId="165" fontId="4" fillId="0" borderId="42" xfId="62" applyFont="1" applyBorder="1" applyAlignment="1">
      <alignment vertical="center"/>
    </xf>
    <xf numFmtId="165" fontId="4" fillId="0" borderId="77" xfId="62" applyFont="1" applyFill="1" applyBorder="1" applyAlignment="1">
      <alignment horizontal="right" vertical="center"/>
    </xf>
    <xf numFmtId="4" fontId="9" fillId="37" borderId="38" xfId="56" applyNumberFormat="1" applyFont="1" applyFill="1" applyBorder="1" applyAlignment="1">
      <alignment vertical="center"/>
      <protection/>
    </xf>
    <xf numFmtId="165" fontId="0" fillId="0" borderId="60" xfId="56" applyNumberFormat="1" applyFont="1" applyFill="1" applyBorder="1" applyAlignment="1">
      <alignment vertical="center"/>
      <protection/>
    </xf>
    <xf numFmtId="165" fontId="9" fillId="37" borderId="42" xfId="56" applyNumberFormat="1" applyFont="1" applyFill="1" applyBorder="1" applyAlignment="1">
      <alignment vertical="center"/>
      <protection/>
    </xf>
    <xf numFmtId="2" fontId="9" fillId="0" borderId="38" xfId="59" applyNumberFormat="1" applyFont="1" applyFill="1" applyBorder="1" applyAlignment="1">
      <alignment vertical="center"/>
    </xf>
    <xf numFmtId="2" fontId="9" fillId="37" borderId="38" xfId="59" applyNumberFormat="1" applyFont="1" applyFill="1" applyBorder="1" applyAlignment="1">
      <alignment vertical="center"/>
    </xf>
    <xf numFmtId="165" fontId="9" fillId="37" borderId="60" xfId="62" applyFont="1" applyFill="1" applyBorder="1" applyAlignment="1">
      <alignment vertical="center"/>
    </xf>
    <xf numFmtId="2" fontId="3" fillId="0" borderId="23" xfId="56" applyNumberFormat="1" applyFont="1" applyFill="1" applyBorder="1" applyAlignment="1">
      <alignment horizontal="center" vertical="center"/>
      <protection/>
    </xf>
    <xf numFmtId="2" fontId="9" fillId="0" borderId="38" xfId="59" applyNumberFormat="1" applyFont="1" applyFill="1" applyBorder="1" applyAlignment="1">
      <alignment horizontal="right" vertical="center"/>
    </xf>
    <xf numFmtId="4" fontId="9" fillId="0" borderId="38" xfId="56" applyNumberFormat="1" applyFont="1" applyFill="1" applyBorder="1" applyAlignment="1">
      <alignment horizontal="right" vertical="center"/>
      <protection/>
    </xf>
    <xf numFmtId="165" fontId="0" fillId="33" borderId="38" xfId="83" applyFill="1" applyBorder="1" applyAlignment="1">
      <alignment horizontal="right" vertical="center"/>
    </xf>
    <xf numFmtId="165" fontId="21" fillId="33" borderId="11" xfId="73" applyNumberFormat="1" applyFont="1" applyFill="1" applyBorder="1" applyAlignment="1" applyProtection="1">
      <alignment horizontal="right" vertical="center"/>
      <protection/>
    </xf>
    <xf numFmtId="165" fontId="17" fillId="33" borderId="21" xfId="73" applyNumberFormat="1" applyFont="1" applyFill="1" applyBorder="1" applyAlignment="1" applyProtection="1">
      <alignment horizontal="right" vertical="center"/>
      <protection/>
    </xf>
    <xf numFmtId="165" fontId="17" fillId="33" borderId="20" xfId="73" applyNumberFormat="1" applyFont="1" applyFill="1" applyBorder="1" applyAlignment="1" applyProtection="1">
      <alignment horizontal="right" vertical="center"/>
      <protection/>
    </xf>
    <xf numFmtId="165" fontId="0" fillId="33" borderId="69" xfId="83" applyFill="1" applyBorder="1" applyAlignment="1">
      <alignment vertical="center" wrapText="1"/>
    </xf>
    <xf numFmtId="165" fontId="0" fillId="33" borderId="38" xfId="83" applyFill="1" applyBorder="1" applyAlignment="1">
      <alignment vertical="center" wrapText="1"/>
    </xf>
    <xf numFmtId="165" fontId="9" fillId="0" borderId="42" xfId="62" applyFont="1" applyFill="1" applyBorder="1" applyAlignment="1" applyProtection="1">
      <alignment horizontal="right" vertical="center"/>
      <protection/>
    </xf>
    <xf numFmtId="2" fontId="9" fillId="0" borderId="38" xfId="0" applyNumberFormat="1" applyFont="1" applyBorder="1" applyAlignment="1">
      <alignment vertical="center"/>
    </xf>
    <xf numFmtId="165" fontId="0" fillId="0" borderId="23" xfId="83" applyFill="1" applyBorder="1" applyAlignment="1">
      <alignment vertical="center"/>
    </xf>
    <xf numFmtId="165" fontId="0" fillId="0" borderId="0" xfId="83" applyFill="1" applyBorder="1" applyAlignment="1">
      <alignment vertical="center"/>
    </xf>
    <xf numFmtId="165" fontId="0" fillId="0" borderId="0" xfId="83" applyFill="1" applyBorder="1" applyAlignment="1">
      <alignment horizontal="center" vertical="center"/>
    </xf>
    <xf numFmtId="165" fontId="9" fillId="0" borderId="38" xfId="83" applyFont="1" applyFill="1" applyBorder="1" applyAlignment="1">
      <alignment horizontal="right" vertical="center"/>
    </xf>
    <xf numFmtId="3" fontId="4" fillId="0" borderId="60" xfId="54" applyNumberFormat="1" applyFont="1" applyFill="1" applyBorder="1" applyAlignment="1">
      <alignment horizontal="left" vertical="center" indent="1"/>
      <protection/>
    </xf>
    <xf numFmtId="165" fontId="0" fillId="0" borderId="0" xfId="62" applyFont="1" applyFill="1" applyBorder="1" applyAlignment="1" applyProtection="1">
      <alignment horizontal="right" vertical="center"/>
      <protection/>
    </xf>
    <xf numFmtId="165" fontId="9" fillId="33" borderId="43" xfId="62" applyFont="1" applyFill="1" applyBorder="1" applyAlignment="1" applyProtection="1">
      <alignment horizontal="right" vertical="center"/>
      <protection/>
    </xf>
    <xf numFmtId="165" fontId="28" fillId="0" borderId="20" xfId="62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/>
    </xf>
    <xf numFmtId="165" fontId="0" fillId="0" borderId="10" xfId="72" applyFont="1" applyFill="1" applyBorder="1" applyAlignment="1" applyProtection="1">
      <alignment horizontal="center" vertical="center" wrapText="1"/>
      <protection/>
    </xf>
    <xf numFmtId="165" fontId="9" fillId="0" borderId="10" xfId="72" applyFont="1" applyFill="1" applyBorder="1" applyAlignment="1" applyProtection="1">
      <alignment horizontal="center" vertical="center" wrapText="1"/>
      <protection/>
    </xf>
    <xf numFmtId="165" fontId="0" fillId="0" borderId="38" xfId="85" applyFill="1" applyBorder="1" applyAlignment="1">
      <alignment horizontal="right" vertical="center"/>
    </xf>
    <xf numFmtId="165" fontId="0" fillId="0" borderId="38" xfId="85" applyBorder="1" applyAlignment="1">
      <alignment vertical="center"/>
    </xf>
    <xf numFmtId="165" fontId="9" fillId="33" borderId="23" xfId="83" applyFont="1" applyFill="1" applyBorder="1" applyAlignment="1">
      <alignment horizontal="center" vertical="center" wrapText="1"/>
    </xf>
    <xf numFmtId="165" fontId="0" fillId="0" borderId="0" xfId="83" applyAlignment="1">
      <alignment vertical="center"/>
    </xf>
    <xf numFmtId="165" fontId="9" fillId="0" borderId="38" xfId="83" applyFont="1" applyFill="1" applyBorder="1" applyAlignment="1">
      <alignment vertical="center"/>
    </xf>
    <xf numFmtId="165" fontId="0" fillId="0" borderId="0" xfId="83" applyAlignment="1">
      <alignment/>
    </xf>
    <xf numFmtId="165" fontId="9" fillId="0" borderId="0" xfId="83" applyFont="1" applyBorder="1" applyAlignment="1">
      <alignment horizontal="center" vertical="center"/>
    </xf>
    <xf numFmtId="165" fontId="0" fillId="0" borderId="0" xfId="83" applyFill="1" applyBorder="1" applyAlignment="1">
      <alignment horizontal="left" vertical="center" wrapText="1" indent="1"/>
    </xf>
    <xf numFmtId="165" fontId="9" fillId="0" borderId="84" xfId="62" applyFont="1" applyFill="1" applyBorder="1" applyAlignment="1" applyProtection="1">
      <alignment horizontal="right" vertical="center"/>
      <protection/>
    </xf>
    <xf numFmtId="165" fontId="4" fillId="0" borderId="19" xfId="83" applyFont="1" applyFill="1" applyBorder="1" applyAlignment="1" applyProtection="1">
      <alignment vertical="center"/>
      <protection/>
    </xf>
    <xf numFmtId="165" fontId="4" fillId="0" borderId="47" xfId="83" applyFont="1" applyFill="1" applyBorder="1" applyAlignment="1" applyProtection="1">
      <alignment vertical="center"/>
      <protection/>
    </xf>
    <xf numFmtId="165" fontId="9" fillId="0" borderId="11" xfId="72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0" fontId="21" fillId="0" borderId="67" xfId="0" applyNumberFormat="1" applyFont="1" applyFill="1" applyBorder="1" applyAlignment="1">
      <alignment vertical="center"/>
    </xf>
    <xf numFmtId="40" fontId="21" fillId="0" borderId="22" xfId="0" applyNumberFormat="1" applyFont="1" applyFill="1" applyBorder="1" applyAlignment="1">
      <alignment horizontal="left" vertical="center"/>
    </xf>
    <xf numFmtId="40" fontId="21" fillId="0" borderId="61" xfId="0" applyNumberFormat="1" applyFont="1" applyFill="1" applyBorder="1" applyAlignment="1">
      <alignment horizontal="left" vertical="center"/>
    </xf>
    <xf numFmtId="0" fontId="4" fillId="0" borderId="80" xfId="0" applyFont="1" applyFill="1" applyBorder="1" applyAlignment="1">
      <alignment vertical="center"/>
    </xf>
    <xf numFmtId="165" fontId="4" fillId="0" borderId="38" xfId="62" applyFont="1" applyFill="1" applyBorder="1" applyAlignment="1" applyProtection="1">
      <alignment horizontal="right" vertical="center"/>
      <protection/>
    </xf>
    <xf numFmtId="43" fontId="5" fillId="0" borderId="0" xfId="0" applyNumberFormat="1" applyFont="1" applyFill="1" applyBorder="1" applyAlignment="1">
      <alignment/>
    </xf>
    <xf numFmtId="49" fontId="4" fillId="0" borderId="62" xfId="0" applyNumberFormat="1" applyFont="1" applyFill="1" applyBorder="1" applyAlignment="1">
      <alignment horizontal="left" vertical="center" indent="1"/>
    </xf>
    <xf numFmtId="0" fontId="4" fillId="0" borderId="74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justify" vertical="top" wrapText="1"/>
    </xf>
    <xf numFmtId="165" fontId="0" fillId="33" borderId="0" xfId="83" applyFill="1" applyBorder="1" applyAlignment="1">
      <alignment/>
    </xf>
    <xf numFmtId="164" fontId="0" fillId="0" borderId="0" xfId="56" applyNumberFormat="1" applyFont="1" applyFill="1" applyBorder="1" applyAlignment="1">
      <alignment vertical="center"/>
      <protection/>
    </xf>
    <xf numFmtId="164" fontId="9" fillId="0" borderId="0" xfId="74" applyNumberFormat="1" applyFont="1" applyBorder="1" applyAlignment="1">
      <alignment vertical="center"/>
    </xf>
    <xf numFmtId="0" fontId="12" fillId="33" borderId="0" xfId="56" applyFont="1" applyFill="1" applyAlignment="1">
      <alignment horizontal="center"/>
      <protection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165" fontId="0" fillId="0" borderId="75" xfId="72" applyFont="1" applyFill="1" applyBorder="1" applyAlignment="1" applyProtection="1">
      <alignment horizontal="left" vertical="center"/>
      <protection/>
    </xf>
    <xf numFmtId="165" fontId="0" fillId="33" borderId="69" xfId="83" applyFont="1" applyFill="1" applyBorder="1" applyAlignment="1">
      <alignment horizontal="center" vertical="center" wrapText="1"/>
    </xf>
    <xf numFmtId="165" fontId="0" fillId="0" borderId="38" xfId="83" applyFont="1" applyFill="1" applyBorder="1" applyAlignment="1">
      <alignment vertical="center"/>
    </xf>
    <xf numFmtId="165" fontId="8" fillId="0" borderId="60" xfId="62" applyFont="1" applyFill="1" applyBorder="1" applyAlignment="1">
      <alignment vertical="center"/>
    </xf>
    <xf numFmtId="165" fontId="8" fillId="0" borderId="42" xfId="85" applyFont="1" applyFill="1" applyBorder="1" applyAlignment="1">
      <alignment horizontal="right" vertical="center"/>
    </xf>
    <xf numFmtId="165" fontId="0" fillId="0" borderId="0" xfId="83" applyFill="1" applyAlignment="1">
      <alignment horizontal="center"/>
    </xf>
    <xf numFmtId="40" fontId="21" fillId="0" borderId="50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right"/>
    </xf>
    <xf numFmtId="165" fontId="3" fillId="0" borderId="0" xfId="62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indent="7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52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left" vertical="center"/>
    </xf>
    <xf numFmtId="165" fontId="3" fillId="0" borderId="21" xfId="62" applyFont="1" applyFill="1" applyBorder="1" applyAlignment="1" applyProtection="1">
      <alignment horizontal="right" vertical="center" wrapText="1"/>
      <protection/>
    </xf>
    <xf numFmtId="165" fontId="3" fillId="0" borderId="42" xfId="62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>
      <alignment horizontal="left" vertical="center"/>
    </xf>
    <xf numFmtId="165" fontId="3" fillId="0" borderId="32" xfId="62" applyFont="1" applyFill="1" applyBorder="1" applyAlignment="1" applyProtection="1">
      <alignment horizontal="right" vertical="center" wrapText="1"/>
      <protection/>
    </xf>
    <xf numFmtId="165" fontId="3" fillId="0" borderId="32" xfId="62" applyFont="1" applyFill="1" applyBorder="1" applyAlignment="1" applyProtection="1">
      <alignment horizontal="center" vertical="center" wrapText="1"/>
      <protection/>
    </xf>
    <xf numFmtId="165" fontId="3" fillId="0" borderId="59" xfId="62" applyFont="1" applyFill="1" applyBorder="1" applyAlignment="1" applyProtection="1">
      <alignment horizontal="right" vertical="center" wrapText="1"/>
      <protection/>
    </xf>
    <xf numFmtId="165" fontId="3" fillId="0" borderId="21" xfId="62" applyFont="1" applyFill="1" applyBorder="1" applyAlignment="1" applyProtection="1">
      <alignment horizontal="center" vertical="center" wrapText="1"/>
      <protection/>
    </xf>
    <xf numFmtId="165" fontId="3" fillId="0" borderId="30" xfId="62" applyFont="1" applyFill="1" applyBorder="1" applyAlignment="1" applyProtection="1">
      <alignment horizontal="center" vertical="center" wrapText="1"/>
      <protection/>
    </xf>
    <xf numFmtId="165" fontId="3" fillId="0" borderId="23" xfId="62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>
      <alignment horizontal="left" vertical="center" indent="1"/>
    </xf>
    <xf numFmtId="165" fontId="3" fillId="0" borderId="38" xfId="62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/>
    </xf>
    <xf numFmtId="165" fontId="3" fillId="0" borderId="61" xfId="62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165" fontId="0" fillId="0" borderId="38" xfId="62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67" fontId="3" fillId="0" borderId="0" xfId="0" applyNumberFormat="1" applyFont="1" applyFill="1" applyAlignment="1">
      <alignment vertical="center"/>
    </xf>
    <xf numFmtId="40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65" fontId="3" fillId="0" borderId="0" xfId="62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Border="1" applyAlignment="1">
      <alignment horizontal="left" indent="6"/>
    </xf>
    <xf numFmtId="170" fontId="3" fillId="0" borderId="0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6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/>
    </xf>
    <xf numFmtId="164" fontId="3" fillId="0" borderId="38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/>
    </xf>
    <xf numFmtId="164" fontId="3" fillId="0" borderId="42" xfId="0" applyNumberFormat="1" applyFont="1" applyFill="1" applyBorder="1" applyAlignment="1">
      <alignment horizontal="center"/>
    </xf>
    <xf numFmtId="164" fontId="3" fillId="0" borderId="0" xfId="6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3" fillId="0" borderId="0" xfId="62" applyFont="1" applyBorder="1" applyAlignment="1">
      <alignment/>
    </xf>
    <xf numFmtId="49" fontId="3" fillId="0" borderId="0" xfId="0" applyNumberFormat="1" applyFont="1" applyFill="1" applyAlignment="1">
      <alignment horizontal="left" indent="7"/>
    </xf>
    <xf numFmtId="16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0" fontId="4" fillId="0" borderId="52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vertical="center"/>
    </xf>
    <xf numFmtId="165" fontId="4" fillId="0" borderId="0" xfId="62" applyFont="1" applyFill="1" applyBorder="1" applyAlignment="1" applyProtection="1">
      <alignment vertical="center" wrapText="1"/>
      <protection/>
    </xf>
    <xf numFmtId="165" fontId="4" fillId="0" borderId="21" xfId="62" applyFont="1" applyFill="1" applyBorder="1" applyAlignment="1" applyProtection="1">
      <alignment vertical="center" wrapText="1"/>
      <protection/>
    </xf>
    <xf numFmtId="165" fontId="4" fillId="0" borderId="52" xfId="62" applyFont="1" applyFill="1" applyBorder="1" applyAlignment="1" applyProtection="1">
      <alignment vertical="center" wrapText="1"/>
      <protection/>
    </xf>
    <xf numFmtId="0" fontId="4" fillId="0" borderId="58" xfId="0" applyFont="1" applyFill="1" applyBorder="1" applyAlignment="1">
      <alignment horizontal="left" vertical="center"/>
    </xf>
    <xf numFmtId="165" fontId="4" fillId="0" borderId="20" xfId="62" applyFont="1" applyFill="1" applyBorder="1" applyAlignment="1" applyProtection="1">
      <alignment vertical="center" wrapText="1"/>
      <protection/>
    </xf>
    <xf numFmtId="165" fontId="3" fillId="0" borderId="0" xfId="62" applyFont="1" applyFill="1" applyBorder="1" applyAlignment="1" applyProtection="1">
      <alignment vertical="center" wrapText="1"/>
      <protection/>
    </xf>
    <xf numFmtId="165" fontId="3" fillId="0" borderId="20" xfId="62" applyFont="1" applyFill="1" applyBorder="1" applyAlignment="1" applyProtection="1">
      <alignment vertical="center" wrapText="1"/>
      <protection/>
    </xf>
    <xf numFmtId="165" fontId="3" fillId="0" borderId="22" xfId="62" applyFont="1" applyFill="1" applyBorder="1" applyAlignment="1" applyProtection="1">
      <alignment vertical="center" wrapText="1"/>
      <protection/>
    </xf>
    <xf numFmtId="43" fontId="3" fillId="0" borderId="20" xfId="0" applyNumberFormat="1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65" fontId="3" fillId="0" borderId="30" xfId="62" applyFont="1" applyFill="1" applyBorder="1" applyAlignment="1" applyProtection="1">
      <alignment vertical="center" wrapText="1"/>
      <protection/>
    </xf>
    <xf numFmtId="165" fontId="3" fillId="0" borderId="23" xfId="62" applyFont="1" applyFill="1" applyBorder="1" applyAlignment="1" applyProtection="1">
      <alignment vertical="center" wrapText="1"/>
      <protection/>
    </xf>
    <xf numFmtId="165" fontId="3" fillId="0" borderId="61" xfId="62" applyFont="1" applyFill="1" applyBorder="1" applyAlignment="1" applyProtection="1">
      <alignment vertical="center" wrapText="1"/>
      <protection/>
    </xf>
    <xf numFmtId="0" fontId="3" fillId="0" borderId="23" xfId="0" applyFont="1" applyBorder="1" applyAlignment="1">
      <alignment/>
    </xf>
    <xf numFmtId="43" fontId="3" fillId="0" borderId="23" xfId="0" applyNumberFormat="1" applyFont="1" applyBorder="1" applyAlignment="1">
      <alignment vertical="center"/>
    </xf>
    <xf numFmtId="165" fontId="3" fillId="0" borderId="45" xfId="62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>
      <alignment/>
    </xf>
    <xf numFmtId="0" fontId="4" fillId="0" borderId="42" xfId="0" applyFont="1" applyFill="1" applyBorder="1" applyAlignment="1">
      <alignment horizontal="left" vertical="center" wrapText="1"/>
    </xf>
    <xf numFmtId="165" fontId="4" fillId="0" borderId="38" xfId="62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165" fontId="21" fillId="0" borderId="11" xfId="83" applyFont="1" applyFill="1" applyBorder="1" applyAlignment="1" applyProtection="1">
      <alignment horizontal="center" vertical="center"/>
      <protection/>
    </xf>
    <xf numFmtId="165" fontId="4" fillId="0" borderId="12" xfId="83" applyFont="1" applyFill="1" applyBorder="1" applyAlignment="1" applyProtection="1">
      <alignment horizontal="center" vertical="center"/>
      <protection/>
    </xf>
    <xf numFmtId="165" fontId="4" fillId="33" borderId="20" xfId="83" applyFont="1" applyFill="1" applyBorder="1" applyAlignment="1">
      <alignment vertical="center"/>
    </xf>
    <xf numFmtId="4" fontId="32" fillId="33" borderId="38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165" fontId="0" fillId="0" borderId="37" xfId="0" applyNumberFormat="1" applyFont="1" applyFill="1" applyBorder="1" applyAlignment="1">
      <alignment vertical="center"/>
    </xf>
    <xf numFmtId="165" fontId="0" fillId="0" borderId="11" xfId="83" applyFill="1" applyBorder="1" applyAlignment="1">
      <alignment vertical="center"/>
    </xf>
    <xf numFmtId="165" fontId="0" fillId="0" borderId="38" xfId="83" applyFont="1" applyFill="1" applyBorder="1" applyAlignment="1">
      <alignment horizontal="center" vertical="center"/>
    </xf>
    <xf numFmtId="165" fontId="9" fillId="37" borderId="21" xfId="83" applyFont="1" applyFill="1" applyBorder="1" applyAlignment="1">
      <alignment vertical="center"/>
    </xf>
    <xf numFmtId="165" fontId="0" fillId="33" borderId="38" xfId="83" applyFont="1" applyFill="1" applyBorder="1" applyAlignment="1">
      <alignment horizontal="center" vertical="center" wrapText="1"/>
    </xf>
    <xf numFmtId="165" fontId="0" fillId="0" borderId="0" xfId="83" applyFill="1" applyBorder="1" applyAlignment="1" applyProtection="1">
      <alignment vertical="center"/>
      <protection/>
    </xf>
    <xf numFmtId="165" fontId="0" fillId="37" borderId="0" xfId="83" applyFill="1" applyAlignment="1">
      <alignment vertical="center"/>
    </xf>
    <xf numFmtId="165" fontId="0" fillId="0" borderId="0" xfId="83" applyAlignment="1">
      <alignment horizontal="center" vertical="center"/>
    </xf>
    <xf numFmtId="43" fontId="3" fillId="0" borderId="0" xfId="56" applyNumberFormat="1" applyFont="1" applyFill="1" applyAlignment="1">
      <alignment horizontal="center"/>
      <protection/>
    </xf>
    <xf numFmtId="165" fontId="0" fillId="0" borderId="38" xfId="83" applyFont="1" applyFill="1" applyBorder="1" applyAlignment="1">
      <alignment horizontal="center" vertical="center"/>
    </xf>
    <xf numFmtId="2" fontId="0" fillId="0" borderId="38" xfId="59" applyNumberFormat="1" applyFont="1" applyFill="1" applyBorder="1" applyAlignment="1">
      <alignment vertical="center"/>
    </xf>
    <xf numFmtId="165" fontId="0" fillId="33" borderId="38" xfId="83" applyFont="1" applyFill="1" applyBorder="1" applyAlignment="1">
      <alignment vertical="center"/>
    </xf>
    <xf numFmtId="165" fontId="0" fillId="0" borderId="19" xfId="62" applyFont="1" applyFill="1" applyBorder="1" applyAlignment="1">
      <alignment horizontal="right" vertical="center"/>
    </xf>
    <xf numFmtId="165" fontId="3" fillId="0" borderId="55" xfId="62" applyFont="1" applyFill="1" applyBorder="1" applyAlignment="1">
      <alignment horizontal="right" vertical="center"/>
    </xf>
    <xf numFmtId="165" fontId="3" fillId="0" borderId="55" xfId="83" applyFont="1" applyFill="1" applyBorder="1" applyAlignment="1" applyProtection="1">
      <alignment horizontal="right" vertical="center"/>
      <protection/>
    </xf>
    <xf numFmtId="4" fontId="3" fillId="0" borderId="13" xfId="55" applyNumberFormat="1" applyFont="1" applyFill="1" applyBorder="1" applyAlignment="1">
      <alignment horizontal="right" vertical="center"/>
      <protection/>
    </xf>
    <xf numFmtId="165" fontId="0" fillId="0" borderId="13" xfId="62" applyFont="1" applyFill="1" applyBorder="1" applyAlignment="1">
      <alignment horizontal="right" vertical="center"/>
    </xf>
    <xf numFmtId="165" fontId="3" fillId="0" borderId="44" xfId="83" applyFont="1" applyFill="1" applyBorder="1" applyAlignment="1" applyProtection="1">
      <alignment horizontal="center" vertical="center" wrapText="1"/>
      <protection/>
    </xf>
    <xf numFmtId="165" fontId="3" fillId="0" borderId="84" xfId="83" applyFont="1" applyFill="1" applyBorder="1" applyAlignment="1" applyProtection="1">
      <alignment horizontal="center" vertical="center" wrapText="1"/>
      <protection/>
    </xf>
    <xf numFmtId="165" fontId="21" fillId="0" borderId="36" xfId="83" applyFont="1" applyFill="1" applyBorder="1" applyAlignment="1" applyProtection="1">
      <alignment horizontal="center" vertical="center" wrapText="1"/>
      <protection/>
    </xf>
    <xf numFmtId="165" fontId="21" fillId="0" borderId="40" xfId="83" applyFont="1" applyFill="1" applyBorder="1" applyAlignment="1" applyProtection="1">
      <alignment horizontal="center" vertical="center" wrapText="1"/>
      <protection/>
    </xf>
    <xf numFmtId="165" fontId="21" fillId="0" borderId="13" xfId="83" applyFont="1" applyFill="1" applyBorder="1" applyAlignment="1" applyProtection="1">
      <alignment horizontal="center" vertical="center" wrapText="1"/>
      <protection/>
    </xf>
    <xf numFmtId="165" fontId="21" fillId="0" borderId="10" xfId="83" applyFont="1" applyFill="1" applyBorder="1" applyAlignment="1" applyProtection="1">
      <alignment horizontal="center" vertical="center" wrapText="1"/>
      <protection/>
    </xf>
    <xf numFmtId="165" fontId="21" fillId="0" borderId="25" xfId="83" applyFont="1" applyFill="1" applyBorder="1" applyAlignment="1" applyProtection="1">
      <alignment horizontal="center" vertical="center"/>
      <protection/>
    </xf>
    <xf numFmtId="165" fontId="21" fillId="0" borderId="39" xfId="83" applyFont="1" applyFill="1" applyBorder="1" applyAlignment="1" applyProtection="1">
      <alignment horizontal="center" vertical="center"/>
      <protection/>
    </xf>
    <xf numFmtId="165" fontId="21" fillId="0" borderId="18" xfId="83" applyFont="1" applyFill="1" applyBorder="1" applyAlignment="1" applyProtection="1">
      <alignment horizontal="center" vertical="center"/>
      <protection/>
    </xf>
    <xf numFmtId="165" fontId="21" fillId="0" borderId="19" xfId="83" applyFont="1" applyFill="1" applyBorder="1" applyAlignment="1" applyProtection="1">
      <alignment horizontal="center" wrapText="1"/>
      <protection/>
    </xf>
    <xf numFmtId="43" fontId="21" fillId="33" borderId="35" xfId="83" applyNumberFormat="1" applyFont="1" applyFill="1" applyBorder="1" applyAlignment="1" applyProtection="1">
      <alignment horizontal="center" vertical="center"/>
      <protection/>
    </xf>
    <xf numFmtId="164" fontId="21" fillId="33" borderId="67" xfId="83" applyNumberFormat="1" applyFont="1" applyFill="1" applyBorder="1" applyAlignment="1" applyProtection="1">
      <alignment horizontal="center" vertical="center"/>
      <protection/>
    </xf>
    <xf numFmtId="165" fontId="21" fillId="0" borderId="29" xfId="83" applyFont="1" applyFill="1" applyBorder="1" applyAlignment="1" applyProtection="1">
      <alignment horizontal="center" vertical="center"/>
      <protection/>
    </xf>
    <xf numFmtId="43" fontId="21" fillId="33" borderId="12" xfId="83" applyNumberFormat="1" applyFont="1" applyFill="1" applyBorder="1" applyAlignment="1" applyProtection="1">
      <alignment horizontal="center" vertical="center"/>
      <protection/>
    </xf>
    <xf numFmtId="164" fontId="21" fillId="33" borderId="16" xfId="83" applyNumberFormat="1" applyFont="1" applyFill="1" applyBorder="1" applyAlignment="1" applyProtection="1">
      <alignment horizontal="center" vertical="center"/>
      <protection/>
    </xf>
    <xf numFmtId="165" fontId="17" fillId="0" borderId="11" xfId="83" applyFont="1" applyFill="1" applyBorder="1" applyAlignment="1" applyProtection="1">
      <alignment horizontal="center" vertical="center"/>
      <protection/>
    </xf>
    <xf numFmtId="49" fontId="21" fillId="0" borderId="65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165" fontId="17" fillId="0" borderId="44" xfId="83" applyFont="1" applyFill="1" applyBorder="1" applyAlignment="1" applyProtection="1">
      <alignment horizontal="center" vertical="center"/>
      <protection/>
    </xf>
    <xf numFmtId="165" fontId="17" fillId="0" borderId="25" xfId="83" applyFont="1" applyFill="1" applyBorder="1" applyAlignment="1" applyProtection="1">
      <alignment horizontal="center" vertical="center"/>
      <protection/>
    </xf>
    <xf numFmtId="165" fontId="17" fillId="0" borderId="18" xfId="83" applyFont="1" applyFill="1" applyBorder="1" applyAlignment="1" applyProtection="1">
      <alignment horizontal="center" vertical="center"/>
      <protection/>
    </xf>
    <xf numFmtId="165" fontId="17" fillId="33" borderId="12" xfId="83" applyFont="1" applyFill="1" applyBorder="1" applyAlignment="1" applyProtection="1">
      <alignment horizontal="center" vertical="center"/>
      <protection/>
    </xf>
    <xf numFmtId="165" fontId="17" fillId="33" borderId="16" xfId="83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165" fontId="17" fillId="0" borderId="19" xfId="83" applyFont="1" applyFill="1" applyBorder="1" applyAlignment="1" applyProtection="1">
      <alignment horizontal="center" vertical="center"/>
      <protection/>
    </xf>
    <xf numFmtId="165" fontId="17" fillId="0" borderId="44" xfId="83" applyFont="1" applyFill="1" applyBorder="1" applyAlignment="1" applyProtection="1">
      <alignment horizontal="right" vertical="center"/>
      <protection/>
    </xf>
    <xf numFmtId="165" fontId="21" fillId="0" borderId="11" xfId="83" applyFont="1" applyFill="1" applyBorder="1" applyAlignment="1" applyProtection="1">
      <alignment horizontal="center" vertical="center"/>
      <protection/>
    </xf>
    <xf numFmtId="165" fontId="21" fillId="0" borderId="10" xfId="83" applyFont="1" applyFill="1" applyBorder="1" applyAlignment="1" applyProtection="1">
      <alignment horizontal="center" vertical="center"/>
      <protection/>
    </xf>
    <xf numFmtId="165" fontId="17" fillId="0" borderId="25" xfId="83" applyFont="1" applyFill="1" applyBorder="1" applyAlignment="1" applyProtection="1">
      <alignment horizontal="center"/>
      <protection/>
    </xf>
    <xf numFmtId="165" fontId="17" fillId="0" borderId="39" xfId="83" applyFont="1" applyFill="1" applyBorder="1" applyAlignment="1" applyProtection="1">
      <alignment horizontal="center"/>
      <protection/>
    </xf>
    <xf numFmtId="165" fontId="17" fillId="0" borderId="18" xfId="83" applyFont="1" applyFill="1" applyBorder="1" applyAlignment="1" applyProtection="1">
      <alignment horizontal="center"/>
      <protection/>
    </xf>
    <xf numFmtId="165" fontId="17" fillId="0" borderId="12" xfId="83" applyFont="1" applyFill="1" applyBorder="1" applyAlignment="1" applyProtection="1">
      <alignment horizontal="center" vertical="center"/>
      <protection/>
    </xf>
    <xf numFmtId="165" fontId="17" fillId="0" borderId="22" xfId="83" applyFont="1" applyFill="1" applyBorder="1" applyAlignment="1" applyProtection="1">
      <alignment horizontal="center" vertical="center"/>
      <protection/>
    </xf>
    <xf numFmtId="43" fontId="17" fillId="33" borderId="35" xfId="83" applyNumberFormat="1" applyFont="1" applyFill="1" applyBorder="1" applyAlignment="1" applyProtection="1">
      <alignment horizontal="center" vertical="center"/>
      <protection/>
    </xf>
    <xf numFmtId="164" fontId="17" fillId="33" borderId="67" xfId="83" applyNumberFormat="1" applyFont="1" applyFill="1" applyBorder="1" applyAlignment="1" applyProtection="1">
      <alignment horizontal="center" vertical="center"/>
      <protection/>
    </xf>
    <xf numFmtId="165" fontId="17" fillId="33" borderId="29" xfId="83" applyFont="1" applyFill="1" applyBorder="1" applyAlignment="1" applyProtection="1">
      <alignment horizontal="center" vertical="center"/>
      <protection/>
    </xf>
    <xf numFmtId="165" fontId="17" fillId="33" borderId="11" xfId="83" applyFont="1" applyFill="1" applyBorder="1" applyAlignment="1" applyProtection="1">
      <alignment horizontal="center" vertical="center"/>
      <protection/>
    </xf>
    <xf numFmtId="43" fontId="21" fillId="33" borderId="16" xfId="83" applyNumberFormat="1" applyFont="1" applyFill="1" applyBorder="1" applyAlignment="1" applyProtection="1">
      <alignment horizontal="center" vertical="center"/>
      <protection/>
    </xf>
    <xf numFmtId="165" fontId="17" fillId="33" borderId="31" xfId="83" applyFont="1" applyFill="1" applyBorder="1" applyAlignment="1" applyProtection="1">
      <alignment horizontal="center" vertical="center"/>
      <protection/>
    </xf>
    <xf numFmtId="165" fontId="17" fillId="0" borderId="31" xfId="83" applyFont="1" applyFill="1" applyBorder="1" applyAlignment="1" applyProtection="1">
      <alignment horizontal="center" vertical="center"/>
      <protection/>
    </xf>
    <xf numFmtId="165" fontId="21" fillId="0" borderId="19" xfId="83" applyFont="1" applyFill="1" applyBorder="1" applyAlignment="1" applyProtection="1">
      <alignment horizontal="center" vertical="center" wrapText="1"/>
      <protection/>
    </xf>
    <xf numFmtId="164" fontId="17" fillId="33" borderId="12" xfId="83" applyNumberFormat="1" applyFont="1" applyFill="1" applyBorder="1" applyAlignment="1" applyProtection="1">
      <alignment horizontal="center" vertical="center"/>
      <protection/>
    </xf>
    <xf numFmtId="164" fontId="17" fillId="33" borderId="16" xfId="83" applyNumberFormat="1" applyFont="1" applyFill="1" applyBorder="1" applyAlignment="1" applyProtection="1">
      <alignment horizontal="center" vertical="center"/>
      <protection/>
    </xf>
    <xf numFmtId="43" fontId="17" fillId="33" borderId="12" xfId="83" applyNumberFormat="1" applyFont="1" applyFill="1" applyBorder="1" applyAlignment="1" applyProtection="1">
      <alignment horizontal="center" vertical="center"/>
      <protection/>
    </xf>
    <xf numFmtId="165" fontId="21" fillId="0" borderId="12" xfId="83" applyFont="1" applyFill="1" applyBorder="1" applyAlignment="1" applyProtection="1">
      <alignment horizontal="center" vertical="center" wrapText="1"/>
      <protection/>
    </xf>
    <xf numFmtId="165" fontId="17" fillId="0" borderId="25" xfId="83" applyFont="1" applyFill="1" applyBorder="1" applyAlignment="1" applyProtection="1">
      <alignment horizontal="center" vertical="center" wrapText="1"/>
      <protection/>
    </xf>
    <xf numFmtId="165" fontId="17" fillId="0" borderId="18" xfId="83" applyFont="1" applyFill="1" applyBorder="1" applyAlignment="1" applyProtection="1">
      <alignment horizontal="center" vertical="center" wrapText="1"/>
      <protection/>
    </xf>
    <xf numFmtId="165" fontId="17" fillId="0" borderId="19" xfId="83" applyFont="1" applyFill="1" applyBorder="1" applyAlignment="1" applyProtection="1">
      <alignment horizontal="center" vertical="center" wrapText="1"/>
      <protection/>
    </xf>
    <xf numFmtId="165" fontId="17" fillId="0" borderId="13" xfId="83" applyFont="1" applyFill="1" applyBorder="1" applyAlignment="1" applyProtection="1">
      <alignment horizontal="center" vertical="center"/>
      <protection/>
    </xf>
    <xf numFmtId="165" fontId="17" fillId="0" borderId="39" xfId="83" applyFont="1" applyFill="1" applyBorder="1" applyAlignment="1" applyProtection="1">
      <alignment horizontal="center" vertical="center"/>
      <protection/>
    </xf>
    <xf numFmtId="165" fontId="3" fillId="0" borderId="0" xfId="83" applyFont="1" applyFill="1" applyBorder="1" applyAlignment="1" applyProtection="1">
      <alignment horizontal="center" vertical="center"/>
      <protection/>
    </xf>
    <xf numFmtId="165" fontId="21" fillId="0" borderId="74" xfId="83" applyFont="1" applyFill="1" applyBorder="1" applyAlignment="1" applyProtection="1">
      <alignment horizontal="center" vertical="center" wrapText="1"/>
      <protection/>
    </xf>
    <xf numFmtId="165" fontId="21" fillId="0" borderId="62" xfId="83" applyFont="1" applyFill="1" applyBorder="1" applyAlignment="1" applyProtection="1">
      <alignment horizontal="center" vertical="center" wrapText="1"/>
      <protection/>
    </xf>
    <xf numFmtId="165" fontId="21" fillId="0" borderId="21" xfId="83" applyFont="1" applyFill="1" applyBorder="1" applyAlignment="1" applyProtection="1">
      <alignment horizontal="center" vertical="center"/>
      <protection/>
    </xf>
    <xf numFmtId="165" fontId="21" fillId="0" borderId="20" xfId="83" applyFont="1" applyFill="1" applyBorder="1" applyAlignment="1" applyProtection="1">
      <alignment horizontal="center" vertical="center"/>
      <protection/>
    </xf>
    <xf numFmtId="165" fontId="21" fillId="0" borderId="22" xfId="83" applyFont="1" applyFill="1" applyBorder="1" applyAlignment="1" applyProtection="1">
      <alignment horizontal="center" vertical="center"/>
      <protection/>
    </xf>
    <xf numFmtId="165" fontId="21" fillId="0" borderId="42" xfId="83" applyFont="1" applyFill="1" applyBorder="1" applyAlignment="1" applyProtection="1">
      <alignment horizontal="center" vertical="center"/>
      <protection/>
    </xf>
    <xf numFmtId="165" fontId="21" fillId="0" borderId="45" xfId="83" applyFont="1" applyFill="1" applyBorder="1" applyAlignment="1" applyProtection="1">
      <alignment horizontal="center" vertical="center"/>
      <protection/>
    </xf>
    <xf numFmtId="165" fontId="21" fillId="0" borderId="63" xfId="83" applyFont="1" applyFill="1" applyBorder="1" applyAlignment="1" applyProtection="1">
      <alignment horizontal="center" vertical="center" wrapText="1"/>
      <protection/>
    </xf>
    <xf numFmtId="165" fontId="21" fillId="0" borderId="58" xfId="83" applyFont="1" applyFill="1" applyBorder="1" applyAlignment="1" applyProtection="1">
      <alignment horizontal="center" vertical="center" wrapText="1"/>
      <protection/>
    </xf>
    <xf numFmtId="165" fontId="21" fillId="0" borderId="52" xfId="83" applyFont="1" applyFill="1" applyBorder="1" applyAlignment="1" applyProtection="1">
      <alignment horizontal="center" vertical="center"/>
      <protection/>
    </xf>
    <xf numFmtId="165" fontId="21" fillId="0" borderId="32" xfId="83" applyFont="1" applyFill="1" applyBorder="1" applyAlignment="1" applyProtection="1">
      <alignment horizontal="center" vertical="center"/>
      <protection/>
    </xf>
    <xf numFmtId="165" fontId="21" fillId="0" borderId="60" xfId="83" applyFont="1" applyFill="1" applyBorder="1" applyAlignment="1" applyProtection="1">
      <alignment horizontal="center" vertical="center"/>
      <protection/>
    </xf>
    <xf numFmtId="165" fontId="21" fillId="0" borderId="0" xfId="83" applyFont="1" applyFill="1" applyBorder="1" applyAlignment="1" applyProtection="1">
      <alignment horizontal="center" vertical="center"/>
      <protection/>
    </xf>
    <xf numFmtId="40" fontId="21" fillId="0" borderId="75" xfId="0" applyNumberFormat="1" applyFont="1" applyFill="1" applyBorder="1" applyAlignment="1">
      <alignment horizontal="left" vertical="center"/>
    </xf>
    <xf numFmtId="40" fontId="21" fillId="0" borderId="39" xfId="0" applyNumberFormat="1" applyFont="1" applyFill="1" applyBorder="1" applyAlignment="1">
      <alignment horizontal="left" vertical="center"/>
    </xf>
    <xf numFmtId="40" fontId="17" fillId="0" borderId="24" xfId="0" applyNumberFormat="1" applyFont="1" applyFill="1" applyBorder="1" applyAlignment="1">
      <alignment horizontal="left" vertical="center"/>
    </xf>
    <xf numFmtId="40" fontId="17" fillId="0" borderId="17" xfId="0" applyNumberFormat="1" applyFont="1" applyFill="1" applyBorder="1" applyAlignment="1">
      <alignment horizontal="left" vertical="center"/>
    </xf>
    <xf numFmtId="4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7"/>
    </xf>
    <xf numFmtId="40" fontId="21" fillId="0" borderId="24" xfId="0" applyNumberFormat="1" applyFont="1" applyFill="1" applyBorder="1" applyAlignment="1">
      <alignment horizontal="left" vertical="center"/>
    </xf>
    <xf numFmtId="40" fontId="21" fillId="0" borderId="17" xfId="0" applyNumberFormat="1" applyFont="1" applyFill="1" applyBorder="1" applyAlignment="1">
      <alignment horizontal="left" vertical="center"/>
    </xf>
    <xf numFmtId="40" fontId="17" fillId="0" borderId="63" xfId="0" applyNumberFormat="1" applyFont="1" applyFill="1" applyBorder="1" applyAlignment="1">
      <alignment horizontal="left" vertical="center"/>
    </xf>
    <xf numFmtId="40" fontId="17" fillId="0" borderId="34" xfId="0" applyNumberFormat="1" applyFont="1" applyFill="1" applyBorder="1" applyAlignment="1">
      <alignment horizontal="left" vertical="center"/>
    </xf>
    <xf numFmtId="40" fontId="21" fillId="0" borderId="58" xfId="0" applyNumberFormat="1" applyFont="1" applyFill="1" applyBorder="1" applyAlignment="1">
      <alignment horizontal="left" vertical="center"/>
    </xf>
    <xf numFmtId="40" fontId="21" fillId="0" borderId="0" xfId="0" applyNumberFormat="1" applyFont="1" applyFill="1" applyBorder="1" applyAlignment="1">
      <alignment horizontal="left" vertical="center"/>
    </xf>
    <xf numFmtId="40" fontId="21" fillId="0" borderId="79" xfId="0" applyNumberFormat="1" applyFont="1" applyFill="1" applyBorder="1" applyAlignment="1">
      <alignment horizontal="left" vertical="center"/>
    </xf>
    <xf numFmtId="40" fontId="21" fillId="0" borderId="41" xfId="0" applyNumberFormat="1" applyFont="1" applyFill="1" applyBorder="1" applyAlignment="1">
      <alignment horizontal="left" vertical="center"/>
    </xf>
    <xf numFmtId="40" fontId="17" fillId="0" borderId="62" xfId="0" applyNumberFormat="1" applyFont="1" applyFill="1" applyBorder="1" applyAlignment="1">
      <alignment horizontal="left" vertical="center"/>
    </xf>
    <xf numFmtId="40" fontId="17" fillId="0" borderId="16" xfId="0" applyNumberFormat="1" applyFont="1" applyFill="1" applyBorder="1" applyAlignment="1">
      <alignment horizontal="left" vertical="center"/>
    </xf>
    <xf numFmtId="40" fontId="21" fillId="0" borderId="26" xfId="0" applyNumberFormat="1" applyFont="1" applyFill="1" applyBorder="1" applyAlignment="1">
      <alignment horizontal="left" vertical="center"/>
    </xf>
    <xf numFmtId="40" fontId="21" fillId="0" borderId="67" xfId="0" applyNumberFormat="1" applyFont="1" applyFill="1" applyBorder="1" applyAlignment="1">
      <alignment horizontal="left" vertical="center"/>
    </xf>
    <xf numFmtId="40" fontId="21" fillId="0" borderId="62" xfId="0" applyNumberFormat="1" applyFont="1" applyFill="1" applyBorder="1" applyAlignment="1">
      <alignment horizontal="left" vertical="center"/>
    </xf>
    <xf numFmtId="40" fontId="21" fillId="0" borderId="16" xfId="0" applyNumberFormat="1" applyFont="1" applyFill="1" applyBorder="1" applyAlignment="1">
      <alignment horizontal="left" vertical="center"/>
    </xf>
    <xf numFmtId="40" fontId="21" fillId="0" borderId="22" xfId="0" applyNumberFormat="1" applyFont="1" applyFill="1" applyBorder="1" applyAlignment="1">
      <alignment horizontal="left" vertical="center"/>
    </xf>
    <xf numFmtId="40" fontId="17" fillId="0" borderId="65" xfId="0" applyNumberFormat="1" applyFont="1" applyFill="1" applyBorder="1" applyAlignment="1">
      <alignment horizontal="left" vertical="center"/>
    </xf>
    <xf numFmtId="40" fontId="17" fillId="0" borderId="59" xfId="0" applyNumberFormat="1" applyFont="1" applyFill="1" applyBorder="1" applyAlignment="1">
      <alignment horizontal="left" vertical="center"/>
    </xf>
    <xf numFmtId="40" fontId="17" fillId="0" borderId="55" xfId="0" applyNumberFormat="1" applyFont="1" applyFill="1" applyBorder="1" applyAlignment="1">
      <alignment horizontal="left" vertical="center"/>
    </xf>
    <xf numFmtId="40" fontId="17" fillId="0" borderId="74" xfId="0" applyNumberFormat="1" applyFont="1" applyFill="1" applyBorder="1" applyAlignment="1">
      <alignment horizontal="left" vertical="center"/>
    </xf>
    <xf numFmtId="40" fontId="17" fillId="0" borderId="58" xfId="0" applyNumberFormat="1" applyFont="1" applyFill="1" applyBorder="1" applyAlignment="1">
      <alignment horizontal="left" vertical="center"/>
    </xf>
    <xf numFmtId="40" fontId="98" fillId="0" borderId="58" xfId="0" applyNumberFormat="1" applyFont="1" applyFill="1" applyBorder="1" applyAlignment="1">
      <alignment horizontal="left" vertical="center"/>
    </xf>
    <xf numFmtId="40" fontId="98" fillId="0" borderId="16" xfId="0" applyNumberFormat="1" applyFont="1" applyFill="1" applyBorder="1" applyAlignment="1">
      <alignment horizontal="left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4" fontId="17" fillId="0" borderId="68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4" fontId="17" fillId="0" borderId="55" xfId="0" applyNumberFormat="1" applyFont="1" applyFill="1" applyBorder="1" applyAlignment="1">
      <alignment horizontal="center" vertical="center" wrapText="1"/>
    </xf>
    <xf numFmtId="4" fontId="17" fillId="0" borderId="35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67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28" fillId="33" borderId="55" xfId="0" applyNumberFormat="1" applyFont="1" applyFill="1" applyBorder="1" applyAlignment="1">
      <alignment horizontal="center" vertical="center" wrapText="1"/>
    </xf>
    <xf numFmtId="49" fontId="28" fillId="33" borderId="17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7" fontId="13" fillId="0" borderId="25" xfId="0" applyNumberFormat="1" applyFont="1" applyFill="1" applyBorder="1" applyAlignment="1">
      <alignment horizontal="center" vertical="center"/>
    </xf>
    <xf numFmtId="37" fontId="13" fillId="0" borderId="39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0" fontId="17" fillId="37" borderId="21" xfId="0" applyNumberFormat="1" applyFont="1" applyFill="1" applyBorder="1" applyAlignment="1">
      <alignment horizontal="center" vertical="center"/>
    </xf>
    <xf numFmtId="40" fontId="17" fillId="37" borderId="23" xfId="0" applyNumberFormat="1" applyFont="1" applyFill="1" applyBorder="1" applyAlignment="1">
      <alignment horizontal="center" vertical="center"/>
    </xf>
    <xf numFmtId="37" fontId="9" fillId="37" borderId="21" xfId="0" applyNumberFormat="1" applyFont="1" applyFill="1" applyBorder="1" applyAlignment="1">
      <alignment horizontal="center" vertical="center"/>
    </xf>
    <xf numFmtId="37" fontId="9" fillId="37" borderId="23" xfId="0" applyNumberFormat="1" applyFont="1" applyFill="1" applyBorder="1" applyAlignment="1">
      <alignment horizontal="center" vertical="center"/>
    </xf>
    <xf numFmtId="37" fontId="9" fillId="37" borderId="42" xfId="0" applyNumberFormat="1" applyFont="1" applyFill="1" applyBorder="1" applyAlignment="1">
      <alignment horizontal="center" vertical="center"/>
    </xf>
    <xf numFmtId="37" fontId="9" fillId="37" borderId="69" xfId="0" applyNumberFormat="1" applyFont="1" applyFill="1" applyBorder="1" applyAlignment="1">
      <alignment horizontal="center" vertical="center"/>
    </xf>
    <xf numFmtId="37" fontId="3" fillId="0" borderId="42" xfId="0" applyNumberFormat="1" applyFont="1" applyFill="1" applyBorder="1" applyAlignment="1">
      <alignment horizontal="center" vertical="center"/>
    </xf>
    <xf numFmtId="37" fontId="3" fillId="0" borderId="69" xfId="0" applyNumberFormat="1" applyFont="1" applyFill="1" applyBorder="1" applyAlignment="1">
      <alignment horizontal="center" vertical="center"/>
    </xf>
    <xf numFmtId="40" fontId="3" fillId="0" borderId="42" xfId="0" applyNumberFormat="1" applyFont="1" applyBorder="1" applyAlignment="1">
      <alignment horizontal="center" vertical="center"/>
    </xf>
    <xf numFmtId="40" fontId="3" fillId="0" borderId="45" xfId="0" applyNumberFormat="1" applyFont="1" applyBorder="1" applyAlignment="1">
      <alignment horizontal="center" vertical="center"/>
    </xf>
    <xf numFmtId="40" fontId="3" fillId="0" borderId="69" xfId="0" applyNumberFormat="1" applyFont="1" applyBorder="1" applyAlignment="1">
      <alignment horizontal="center" vertical="center"/>
    </xf>
    <xf numFmtId="37" fontId="3" fillId="0" borderId="38" xfId="0" applyNumberFormat="1" applyFont="1" applyFill="1" applyBorder="1" applyAlignment="1">
      <alignment horizontal="center" vertical="center"/>
    </xf>
    <xf numFmtId="37" fontId="3" fillId="0" borderId="45" xfId="0" applyNumberFormat="1" applyFont="1" applyFill="1" applyBorder="1" applyAlignment="1">
      <alignment horizontal="center" vertical="center"/>
    </xf>
    <xf numFmtId="37" fontId="9" fillId="37" borderId="52" xfId="0" applyNumberFormat="1" applyFont="1" applyFill="1" applyBorder="1" applyAlignment="1">
      <alignment horizontal="center" vertical="center"/>
    </xf>
    <xf numFmtId="37" fontId="9" fillId="37" borderId="59" xfId="0" applyNumberFormat="1" applyFont="1" applyFill="1" applyBorder="1" applyAlignment="1">
      <alignment horizontal="center" vertical="center"/>
    </xf>
    <xf numFmtId="37" fontId="9" fillId="37" borderId="60" xfId="0" applyNumberFormat="1" applyFont="1" applyFill="1" applyBorder="1" applyAlignment="1">
      <alignment horizontal="center" vertical="center"/>
    </xf>
    <xf numFmtId="37" fontId="9" fillId="37" borderId="61" xfId="0" applyNumberFormat="1" applyFont="1" applyFill="1" applyBorder="1" applyAlignment="1">
      <alignment horizontal="center" vertical="center"/>
    </xf>
    <xf numFmtId="165" fontId="0" fillId="37" borderId="42" xfId="83" applyFill="1" applyBorder="1" applyAlignment="1">
      <alignment horizontal="center" vertical="center"/>
    </xf>
    <xf numFmtId="165" fontId="0" fillId="37" borderId="69" xfId="83" applyFill="1" applyBorder="1" applyAlignment="1">
      <alignment horizontal="center" vertical="center"/>
    </xf>
    <xf numFmtId="165" fontId="0" fillId="0" borderId="42" xfId="83" applyFill="1" applyBorder="1" applyAlignment="1">
      <alignment horizontal="center" vertical="center"/>
    </xf>
    <xf numFmtId="165" fontId="0" fillId="0" borderId="69" xfId="83" applyFill="1" applyBorder="1" applyAlignment="1">
      <alignment horizontal="center" vertical="center"/>
    </xf>
    <xf numFmtId="37" fontId="9" fillId="37" borderId="45" xfId="0" applyNumberFormat="1" applyFont="1" applyFill="1" applyBorder="1" applyAlignment="1">
      <alignment horizontal="center" vertical="center"/>
    </xf>
    <xf numFmtId="37" fontId="9" fillId="37" borderId="21" xfId="0" applyNumberFormat="1" applyFont="1" applyFill="1" applyBorder="1" applyAlignment="1">
      <alignment horizontal="center" vertical="center" wrapText="1"/>
    </xf>
    <xf numFmtId="37" fontId="9" fillId="37" borderId="23" xfId="0" applyNumberFormat="1" applyFont="1" applyFill="1" applyBorder="1" applyAlignment="1">
      <alignment horizontal="center" vertical="center" wrapText="1"/>
    </xf>
    <xf numFmtId="165" fontId="3" fillId="0" borderId="25" xfId="62" applyFont="1" applyFill="1" applyBorder="1" applyAlignment="1" applyProtection="1">
      <alignment horizontal="center" vertical="center"/>
      <protection/>
    </xf>
    <xf numFmtId="165" fontId="3" fillId="0" borderId="39" xfId="62" applyFont="1" applyFill="1" applyBorder="1" applyAlignment="1" applyProtection="1">
      <alignment horizontal="center" vertical="center"/>
      <protection/>
    </xf>
    <xf numFmtId="165" fontId="3" fillId="0" borderId="18" xfId="62" applyFont="1" applyFill="1" applyBorder="1" applyAlignment="1" applyProtection="1">
      <alignment horizontal="center" vertical="center"/>
      <protection/>
    </xf>
    <xf numFmtId="0" fontId="4" fillId="0" borderId="8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165" fontId="0" fillId="37" borderId="45" xfId="83" applyFill="1" applyBorder="1" applyAlignment="1">
      <alignment horizontal="center" vertical="center"/>
    </xf>
    <xf numFmtId="165" fontId="3" fillId="0" borderId="19" xfId="62" applyFont="1" applyFill="1" applyBorder="1" applyAlignment="1" applyProtection="1">
      <alignment horizontal="center" vertical="center"/>
      <protection/>
    </xf>
    <xf numFmtId="165" fontId="3" fillId="0" borderId="77" xfId="62" applyFont="1" applyFill="1" applyBorder="1" applyAlignment="1" applyProtection="1">
      <alignment horizontal="center" vertical="center"/>
      <protection/>
    </xf>
    <xf numFmtId="165" fontId="0" fillId="0" borderId="45" xfId="83" applyFill="1" applyBorder="1" applyAlignment="1">
      <alignment horizontal="center" vertical="center"/>
    </xf>
    <xf numFmtId="165" fontId="4" fillId="0" borderId="19" xfId="62" applyFont="1" applyFill="1" applyBorder="1" applyAlignment="1" applyProtection="1">
      <alignment horizontal="center" vertical="center"/>
      <protection/>
    </xf>
    <xf numFmtId="165" fontId="4" fillId="0" borderId="77" xfId="62" applyFont="1" applyFill="1" applyBorder="1" applyAlignment="1" applyProtection="1">
      <alignment horizontal="center" vertical="center"/>
      <protection/>
    </xf>
    <xf numFmtId="165" fontId="4" fillId="0" borderId="25" xfId="62" applyFont="1" applyFill="1" applyBorder="1" applyAlignment="1" applyProtection="1">
      <alignment horizontal="center" vertical="center"/>
      <protection/>
    </xf>
    <xf numFmtId="165" fontId="4" fillId="0" borderId="39" xfId="62" applyFont="1" applyFill="1" applyBorder="1" applyAlignment="1" applyProtection="1">
      <alignment horizontal="center" vertical="center"/>
      <protection/>
    </xf>
    <xf numFmtId="165" fontId="4" fillId="0" borderId="18" xfId="62" applyFont="1" applyFill="1" applyBorder="1" applyAlignment="1" applyProtection="1">
      <alignment horizontal="center" vertical="center"/>
      <protection/>
    </xf>
    <xf numFmtId="40" fontId="3" fillId="0" borderId="42" xfId="0" applyNumberFormat="1" applyFont="1" applyBorder="1" applyAlignment="1">
      <alignment horizontal="center"/>
    </xf>
    <xf numFmtId="40" fontId="3" fillId="0" borderId="45" xfId="0" applyNumberFormat="1" applyFont="1" applyBorder="1" applyAlignment="1">
      <alignment horizontal="center"/>
    </xf>
    <xf numFmtId="40" fontId="3" fillId="0" borderId="69" xfId="0" applyNumberFormat="1" applyFont="1" applyBorder="1" applyAlignment="1">
      <alignment horizontal="center"/>
    </xf>
    <xf numFmtId="165" fontId="4" fillId="0" borderId="0" xfId="62" applyFont="1" applyFill="1" applyBorder="1" applyAlignment="1" applyProtection="1">
      <alignment horizontal="center" vertical="top" wrapText="1"/>
      <protection/>
    </xf>
    <xf numFmtId="165" fontId="3" fillId="33" borderId="25" xfId="62" applyFont="1" applyFill="1" applyBorder="1" applyAlignment="1" applyProtection="1">
      <alignment horizontal="center" vertical="center" wrapText="1"/>
      <protection/>
    </xf>
    <xf numFmtId="165" fontId="3" fillId="33" borderId="39" xfId="62" applyFont="1" applyFill="1" applyBorder="1" applyAlignment="1" applyProtection="1">
      <alignment horizontal="center" vertical="center" wrapText="1"/>
      <protection/>
    </xf>
    <xf numFmtId="165" fontId="3" fillId="33" borderId="56" xfId="62" applyFont="1" applyFill="1" applyBorder="1" applyAlignment="1" applyProtection="1">
      <alignment horizontal="center" vertical="center" wrapText="1"/>
      <protection/>
    </xf>
    <xf numFmtId="165" fontId="4" fillId="0" borderId="56" xfId="62" applyFont="1" applyFill="1" applyBorder="1" applyAlignment="1" applyProtection="1">
      <alignment horizontal="center" vertical="center"/>
      <protection/>
    </xf>
    <xf numFmtId="165" fontId="4" fillId="0" borderId="25" xfId="62" applyFont="1" applyFill="1" applyBorder="1" applyAlignment="1" applyProtection="1">
      <alignment vertical="center" wrapText="1"/>
      <protection/>
    </xf>
    <xf numFmtId="165" fontId="4" fillId="0" borderId="18" xfId="62" applyFont="1" applyFill="1" applyBorder="1" applyAlignment="1" applyProtection="1">
      <alignment vertical="center" wrapText="1"/>
      <protection/>
    </xf>
    <xf numFmtId="165" fontId="3" fillId="0" borderId="56" xfId="62" applyFont="1" applyFill="1" applyBorder="1" applyAlignment="1" applyProtection="1">
      <alignment horizontal="center" vertical="center"/>
      <protection/>
    </xf>
    <xf numFmtId="165" fontId="3" fillId="0" borderId="25" xfId="62" applyFont="1" applyFill="1" applyBorder="1" applyAlignment="1" applyProtection="1">
      <alignment horizontal="center" vertical="center" wrapText="1"/>
      <protection/>
    </xf>
    <xf numFmtId="165" fontId="3" fillId="0" borderId="39" xfId="62" applyFont="1" applyFill="1" applyBorder="1" applyAlignment="1" applyProtection="1">
      <alignment horizontal="center" vertical="center" wrapText="1"/>
      <protection/>
    </xf>
    <xf numFmtId="165" fontId="3" fillId="0" borderId="56" xfId="62" applyFont="1" applyFill="1" applyBorder="1" applyAlignment="1" applyProtection="1">
      <alignment horizontal="center" vertical="center" wrapText="1"/>
      <protection/>
    </xf>
    <xf numFmtId="165" fontId="4" fillId="0" borderId="19" xfId="62" applyFont="1" applyFill="1" applyBorder="1" applyAlignment="1" applyProtection="1">
      <alignment horizontal="center" vertical="center" wrapText="1"/>
      <protection/>
    </xf>
    <xf numFmtId="165" fontId="3" fillId="33" borderId="19" xfId="62" applyFont="1" applyFill="1" applyBorder="1" applyAlignment="1" applyProtection="1">
      <alignment horizontal="center" vertical="center" wrapText="1"/>
      <protection/>
    </xf>
    <xf numFmtId="165" fontId="3" fillId="33" borderId="18" xfId="62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37" fontId="4" fillId="0" borderId="80" xfId="0" applyNumberFormat="1" applyFont="1" applyBorder="1" applyAlignment="1">
      <alignment horizontal="center" vertical="center"/>
    </xf>
    <xf numFmtId="37" fontId="4" fillId="0" borderId="19" xfId="0" applyNumberFormat="1" applyFont="1" applyFill="1" applyBorder="1" applyAlignment="1">
      <alignment horizontal="center" vertical="center" wrapText="1"/>
    </xf>
    <xf numFmtId="165" fontId="4" fillId="0" borderId="25" xfId="62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7" fontId="4" fillId="37" borderId="42" xfId="0" applyNumberFormat="1" applyFont="1" applyFill="1" applyBorder="1" applyAlignment="1">
      <alignment horizontal="center" vertical="center"/>
    </xf>
    <xf numFmtId="37" fontId="4" fillId="37" borderId="45" xfId="0" applyNumberFormat="1" applyFont="1" applyFill="1" applyBorder="1" applyAlignment="1">
      <alignment horizontal="center" vertical="center"/>
    </xf>
    <xf numFmtId="37" fontId="4" fillId="37" borderId="69" xfId="0" applyNumberFormat="1" applyFont="1" applyFill="1" applyBorder="1" applyAlignment="1">
      <alignment horizontal="center" vertical="center"/>
    </xf>
    <xf numFmtId="165" fontId="4" fillId="0" borderId="25" xfId="62" applyFont="1" applyFill="1" applyBorder="1" applyAlignment="1" applyProtection="1">
      <alignment horizontal="center" vertical="center" wrapText="1"/>
      <protection/>
    </xf>
    <xf numFmtId="165" fontId="4" fillId="0" borderId="39" xfId="62" applyFont="1" applyFill="1" applyBorder="1" applyAlignment="1" applyProtection="1">
      <alignment horizontal="center" vertical="center" wrapText="1"/>
      <protection/>
    </xf>
    <xf numFmtId="165" fontId="4" fillId="0" borderId="56" xfId="62" applyFont="1" applyFill="1" applyBorder="1" applyAlignment="1" applyProtection="1">
      <alignment horizontal="center" vertical="center" wrapText="1"/>
      <protection/>
    </xf>
    <xf numFmtId="165" fontId="0" fillId="0" borderId="42" xfId="83" applyFill="1" applyBorder="1" applyAlignment="1">
      <alignment horizontal="right" vertical="center"/>
    </xf>
    <xf numFmtId="165" fontId="0" fillId="0" borderId="45" xfId="83" applyFill="1" applyBorder="1" applyAlignment="1">
      <alignment horizontal="right" vertical="center"/>
    </xf>
    <xf numFmtId="165" fontId="0" fillId="0" borderId="69" xfId="83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7" fontId="3" fillId="0" borderId="38" xfId="0" applyNumberFormat="1" applyFont="1" applyFill="1" applyBorder="1" applyAlignment="1">
      <alignment horizontal="center"/>
    </xf>
    <xf numFmtId="165" fontId="3" fillId="0" borderId="25" xfId="62" applyFont="1" applyFill="1" applyBorder="1" applyAlignment="1" applyProtection="1">
      <alignment horizontal="right" vertical="center" wrapText="1"/>
      <protection/>
    </xf>
    <xf numFmtId="165" fontId="3" fillId="0" borderId="18" xfId="62" applyFont="1" applyFill="1" applyBorder="1" applyAlignment="1" applyProtection="1">
      <alignment horizontal="center" vertical="center" wrapText="1"/>
      <protection/>
    </xf>
    <xf numFmtId="39" fontId="3" fillId="0" borderId="25" xfId="0" applyNumberFormat="1" applyFont="1" applyFill="1" applyBorder="1" applyAlignment="1">
      <alignment horizontal="center" vertical="center" wrapText="1"/>
    </xf>
    <xf numFmtId="39" fontId="3" fillId="0" borderId="39" xfId="0" applyNumberFormat="1" applyFont="1" applyFill="1" applyBorder="1" applyAlignment="1">
      <alignment horizontal="center" vertical="center" wrapText="1"/>
    </xf>
    <xf numFmtId="39" fontId="3" fillId="0" borderId="56" xfId="0" applyNumberFormat="1" applyFont="1" applyFill="1" applyBorder="1" applyAlignment="1">
      <alignment horizontal="center" vertical="center" wrapText="1"/>
    </xf>
    <xf numFmtId="39" fontId="3" fillId="0" borderId="18" xfId="0" applyNumberFormat="1" applyFont="1" applyFill="1" applyBorder="1" applyAlignment="1">
      <alignment horizontal="center" vertical="center" wrapText="1"/>
    </xf>
    <xf numFmtId="165" fontId="4" fillId="0" borderId="54" xfId="62" applyFont="1" applyFill="1" applyBorder="1" applyAlignment="1" applyProtection="1">
      <alignment horizontal="center" vertical="center"/>
      <protection/>
    </xf>
    <xf numFmtId="165" fontId="4" fillId="0" borderId="43" xfId="62" applyFont="1" applyFill="1" applyBorder="1" applyAlignment="1" applyProtection="1">
      <alignment horizontal="center" vertical="center"/>
      <protection/>
    </xf>
    <xf numFmtId="165" fontId="4" fillId="0" borderId="52" xfId="62" applyFont="1" applyFill="1" applyBorder="1" applyAlignment="1" applyProtection="1">
      <alignment horizontal="center" vertical="center"/>
      <protection/>
    </xf>
    <xf numFmtId="165" fontId="4" fillId="0" borderId="59" xfId="62" applyFont="1" applyFill="1" applyBorder="1" applyAlignment="1" applyProtection="1">
      <alignment horizontal="center" vertical="center"/>
      <protection/>
    </xf>
    <xf numFmtId="165" fontId="4" fillId="0" borderId="52" xfId="62" applyFont="1" applyFill="1" applyBorder="1" applyAlignment="1" applyProtection="1">
      <alignment horizontal="center" vertical="top" wrapText="1"/>
      <protection/>
    </xf>
    <xf numFmtId="165" fontId="4" fillId="0" borderId="32" xfId="62" applyFont="1" applyFill="1" applyBorder="1" applyAlignment="1" applyProtection="1">
      <alignment horizontal="center" vertical="top" wrapText="1"/>
      <protection/>
    </xf>
    <xf numFmtId="37" fontId="16" fillId="0" borderId="80" xfId="0" applyNumberFormat="1" applyFont="1" applyFill="1" applyBorder="1" applyAlignment="1">
      <alignment horizontal="center" vertical="center" wrapText="1"/>
    </xf>
    <xf numFmtId="37" fontId="4" fillId="0" borderId="78" xfId="0" applyNumberFormat="1" applyFont="1" applyFill="1" applyBorder="1" applyAlignment="1">
      <alignment horizontal="center" vertical="center"/>
    </xf>
    <xf numFmtId="37" fontId="4" fillId="0" borderId="73" xfId="0" applyNumberFormat="1" applyFont="1" applyFill="1" applyBorder="1" applyAlignment="1">
      <alignment horizontal="center" vertical="center"/>
    </xf>
    <xf numFmtId="37" fontId="4" fillId="0" borderId="85" xfId="0" applyNumberFormat="1" applyFont="1" applyFill="1" applyBorder="1" applyAlignment="1">
      <alignment horizontal="center" vertical="center"/>
    </xf>
    <xf numFmtId="37" fontId="4" fillId="0" borderId="54" xfId="0" applyNumberFormat="1" applyFont="1" applyFill="1" applyBorder="1" applyAlignment="1">
      <alignment horizontal="center" vertical="center"/>
    </xf>
    <xf numFmtId="37" fontId="4" fillId="0" borderId="70" xfId="0" applyNumberFormat="1" applyFont="1" applyFill="1" applyBorder="1" applyAlignment="1">
      <alignment horizontal="center" vertical="center"/>
    </xf>
    <xf numFmtId="37" fontId="4" fillId="0" borderId="83" xfId="0" applyNumberFormat="1" applyFont="1" applyFill="1" applyBorder="1" applyAlignment="1">
      <alignment horizontal="center" vertical="center"/>
    </xf>
    <xf numFmtId="165" fontId="0" fillId="0" borderId="42" xfId="83" applyFont="1" applyFill="1" applyBorder="1" applyAlignment="1">
      <alignment horizontal="center" vertical="center"/>
    </xf>
    <xf numFmtId="165" fontId="0" fillId="0" borderId="45" xfId="83" applyFont="1" applyFill="1" applyBorder="1" applyAlignment="1">
      <alignment horizontal="center" vertical="center"/>
    </xf>
    <xf numFmtId="165" fontId="0" fillId="0" borderId="69" xfId="83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wrapText="1"/>
    </xf>
    <xf numFmtId="37" fontId="4" fillId="0" borderId="2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165" fontId="3" fillId="0" borderId="0" xfId="62" applyFont="1" applyFill="1" applyBorder="1" applyAlignment="1" applyProtection="1">
      <alignment horizontal="center"/>
      <protection/>
    </xf>
    <xf numFmtId="37" fontId="4" fillId="0" borderId="42" xfId="0" applyNumberFormat="1" applyFont="1" applyFill="1" applyBorder="1" applyAlignment="1">
      <alignment horizontal="center" vertical="center"/>
    </xf>
    <xf numFmtId="37" fontId="4" fillId="0" borderId="45" xfId="0" applyNumberFormat="1" applyFont="1" applyFill="1" applyBorder="1" applyAlignment="1">
      <alignment horizontal="center" vertical="center"/>
    </xf>
    <xf numFmtId="37" fontId="4" fillId="0" borderId="69" xfId="0" applyNumberFormat="1" applyFont="1" applyFill="1" applyBorder="1" applyAlignment="1">
      <alignment horizontal="center" vertical="center"/>
    </xf>
    <xf numFmtId="37" fontId="9" fillId="37" borderId="32" xfId="0" applyNumberFormat="1" applyFont="1" applyFill="1" applyBorder="1" applyAlignment="1">
      <alignment horizontal="center" vertical="center"/>
    </xf>
    <xf numFmtId="37" fontId="9" fillId="37" borderId="30" xfId="0" applyNumberFormat="1" applyFont="1" applyFill="1" applyBorder="1" applyAlignment="1">
      <alignment horizontal="center" vertical="center"/>
    </xf>
    <xf numFmtId="165" fontId="0" fillId="0" borderId="38" xfId="83" applyFont="1" applyFill="1" applyBorder="1" applyAlignment="1">
      <alignment horizontal="center" vertical="center"/>
    </xf>
    <xf numFmtId="3" fontId="29" fillId="0" borderId="51" xfId="53" applyNumberFormat="1" applyFont="1" applyFill="1" applyBorder="1" applyAlignment="1">
      <alignment horizontal="center" vertical="center"/>
      <protection/>
    </xf>
    <xf numFmtId="3" fontId="29" fillId="0" borderId="45" xfId="53" applyNumberFormat="1" applyFont="1" applyFill="1" applyBorder="1" applyAlignment="1">
      <alignment horizontal="center" vertical="center"/>
      <protection/>
    </xf>
    <xf numFmtId="3" fontId="29" fillId="0" borderId="69" xfId="53" applyNumberFormat="1" applyFont="1" applyFill="1" applyBorder="1" applyAlignment="1">
      <alignment horizontal="center" vertical="center"/>
      <protection/>
    </xf>
    <xf numFmtId="49" fontId="29" fillId="0" borderId="38" xfId="53" applyNumberFormat="1" applyFont="1" applyFill="1" applyBorder="1" applyAlignment="1">
      <alignment horizontal="center" vertical="center" wrapText="1"/>
      <protection/>
    </xf>
    <xf numFmtId="3" fontId="29" fillId="0" borderId="42" xfId="53" applyNumberFormat="1" applyFont="1" applyFill="1" applyBorder="1" applyAlignment="1">
      <alignment horizontal="center" vertical="center"/>
      <protection/>
    </xf>
    <xf numFmtId="165" fontId="9" fillId="0" borderId="38" xfId="83" applyFont="1" applyFill="1" applyBorder="1" applyAlignment="1">
      <alignment horizontal="center" vertical="center"/>
    </xf>
    <xf numFmtId="165" fontId="9" fillId="0" borderId="30" xfId="83" applyFont="1" applyFill="1" applyBorder="1" applyAlignment="1">
      <alignment horizontal="center" vertical="center"/>
    </xf>
    <xf numFmtId="165" fontId="9" fillId="0" borderId="61" xfId="83" applyFont="1" applyFill="1" applyBorder="1" applyAlignment="1">
      <alignment horizontal="center" vertical="center"/>
    </xf>
    <xf numFmtId="165" fontId="4" fillId="0" borderId="38" xfId="70" applyFont="1" applyFill="1" applyBorder="1" applyAlignment="1" applyProtection="1">
      <alignment horizontal="center" vertical="center"/>
      <protection/>
    </xf>
    <xf numFmtId="165" fontId="4" fillId="0" borderId="42" xfId="70" applyFont="1" applyFill="1" applyBorder="1" applyAlignment="1" applyProtection="1">
      <alignment horizontal="center" vertical="center"/>
      <protection/>
    </xf>
    <xf numFmtId="165" fontId="4" fillId="0" borderId="45" xfId="70" applyFont="1" applyFill="1" applyBorder="1" applyAlignment="1" applyProtection="1">
      <alignment horizontal="center" vertical="center"/>
      <protection/>
    </xf>
    <xf numFmtId="165" fontId="4" fillId="0" borderId="69" xfId="70" applyFont="1" applyFill="1" applyBorder="1" applyAlignment="1" applyProtection="1">
      <alignment horizontal="center" vertical="center"/>
      <protection/>
    </xf>
    <xf numFmtId="4" fontId="3" fillId="0" borderId="12" xfId="83" applyNumberFormat="1" applyFont="1" applyFill="1" applyBorder="1" applyAlignment="1" applyProtection="1">
      <alignment horizontal="right" vertical="center"/>
      <protection/>
    </xf>
    <xf numFmtId="4" fontId="3" fillId="0" borderId="0" xfId="83" applyNumberFormat="1" applyFont="1" applyFill="1" applyBorder="1" applyAlignment="1" applyProtection="1">
      <alignment horizontal="right" vertical="center"/>
      <protection/>
    </xf>
    <xf numFmtId="4" fontId="3" fillId="0" borderId="22" xfId="83" applyNumberFormat="1" applyFont="1" applyFill="1" applyBorder="1" applyAlignment="1" applyProtection="1">
      <alignment horizontal="right" vertical="center"/>
      <protection/>
    </xf>
    <xf numFmtId="4" fontId="3" fillId="0" borderId="12" xfId="83" applyNumberFormat="1" applyFont="1" applyFill="1" applyBorder="1" applyAlignment="1" applyProtection="1">
      <alignment horizontal="center" vertical="center"/>
      <protection/>
    </xf>
    <xf numFmtId="4" fontId="3" fillId="0" borderId="22" xfId="83" applyNumberFormat="1" applyFont="1" applyFill="1" applyBorder="1" applyAlignment="1" applyProtection="1">
      <alignment horizontal="center" vertical="center"/>
      <protection/>
    </xf>
    <xf numFmtId="165" fontId="3" fillId="0" borderId="58" xfId="70" applyFont="1" applyFill="1" applyBorder="1" applyAlignment="1" applyProtection="1">
      <alignment horizontal="center" vertical="center"/>
      <protection/>
    </xf>
    <xf numFmtId="165" fontId="3" fillId="0" borderId="0" xfId="70" applyFont="1" applyFill="1" applyBorder="1" applyAlignment="1" applyProtection="1">
      <alignment horizontal="center" vertical="center"/>
      <protection/>
    </xf>
    <xf numFmtId="165" fontId="3" fillId="0" borderId="22" xfId="70" applyFont="1" applyFill="1" applyBorder="1" applyAlignment="1" applyProtection="1">
      <alignment horizontal="center" vertical="center"/>
      <protection/>
    </xf>
    <xf numFmtId="165" fontId="0" fillId="0" borderId="58" xfId="83" applyFill="1" applyBorder="1" applyAlignment="1" applyProtection="1">
      <alignment horizontal="center" vertical="center"/>
      <protection/>
    </xf>
    <xf numFmtId="165" fontId="0" fillId="0" borderId="22" xfId="83" applyFill="1" applyBorder="1" applyAlignment="1" applyProtection="1">
      <alignment horizontal="center" vertical="center"/>
      <protection/>
    </xf>
    <xf numFmtId="165" fontId="0" fillId="0" borderId="60" xfId="83" applyFill="1" applyBorder="1" applyAlignment="1" applyProtection="1">
      <alignment horizontal="center" vertical="center"/>
      <protection/>
    </xf>
    <xf numFmtId="165" fontId="0" fillId="0" borderId="61" xfId="83" applyFill="1" applyBorder="1" applyAlignment="1" applyProtection="1">
      <alignment horizontal="center" vertical="center"/>
      <protection/>
    </xf>
    <xf numFmtId="165" fontId="4" fillId="0" borderId="58" xfId="70" applyFont="1" applyFill="1" applyBorder="1" applyAlignment="1" applyProtection="1">
      <alignment horizontal="center" vertical="center"/>
      <protection/>
    </xf>
    <xf numFmtId="165" fontId="4" fillId="0" borderId="0" xfId="70" applyFont="1" applyFill="1" applyBorder="1" applyAlignment="1" applyProtection="1">
      <alignment horizontal="center" vertical="center"/>
      <protection/>
    </xf>
    <xf numFmtId="165" fontId="4" fillId="0" borderId="22" xfId="70" applyFont="1" applyFill="1" applyBorder="1" applyAlignment="1" applyProtection="1">
      <alignment horizontal="center" vertical="center"/>
      <protection/>
    </xf>
    <xf numFmtId="165" fontId="3" fillId="0" borderId="58" xfId="83" applyFont="1" applyFill="1" applyBorder="1" applyAlignment="1" applyProtection="1">
      <alignment horizontal="center" vertical="center"/>
      <protection/>
    </xf>
    <xf numFmtId="165" fontId="3" fillId="0" borderId="22" xfId="83" applyFont="1" applyFill="1" applyBorder="1" applyAlignment="1" applyProtection="1">
      <alignment horizontal="center" vertical="center"/>
      <protection/>
    </xf>
    <xf numFmtId="0" fontId="4" fillId="0" borderId="38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indent="7"/>
    </xf>
    <xf numFmtId="3" fontId="4" fillId="0" borderId="81" xfId="53" applyNumberFormat="1" applyFont="1" applyFill="1" applyBorder="1" applyAlignment="1">
      <alignment horizontal="center" vertical="center" wrapText="1"/>
      <protection/>
    </xf>
    <xf numFmtId="3" fontId="4" fillId="0" borderId="80" xfId="53" applyNumberFormat="1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/>
      <protection/>
    </xf>
    <xf numFmtId="0" fontId="4" fillId="0" borderId="45" xfId="53" applyFont="1" applyFill="1" applyBorder="1" applyAlignment="1">
      <alignment horizontal="center" vertical="center"/>
      <protection/>
    </xf>
    <xf numFmtId="0" fontId="4" fillId="0" borderId="69" xfId="53" applyFont="1" applyFill="1" applyBorder="1" applyAlignment="1">
      <alignment horizontal="center" vertical="center"/>
      <protection/>
    </xf>
    <xf numFmtId="4" fontId="4" fillId="0" borderId="58" xfId="83" applyNumberFormat="1" applyFont="1" applyFill="1" applyBorder="1" applyAlignment="1" applyProtection="1">
      <alignment horizontal="right" vertical="center"/>
      <protection/>
    </xf>
    <xf numFmtId="4" fontId="4" fillId="0" borderId="22" xfId="83" applyNumberFormat="1" applyFont="1" applyFill="1" applyBorder="1" applyAlignment="1" applyProtection="1">
      <alignment horizontal="right" vertical="center"/>
      <protection/>
    </xf>
    <xf numFmtId="4" fontId="4" fillId="0" borderId="12" xfId="83" applyNumberFormat="1" applyFont="1" applyFill="1" applyBorder="1" applyAlignment="1" applyProtection="1">
      <alignment horizontal="right" vertical="center"/>
      <protection/>
    </xf>
    <xf numFmtId="4" fontId="4" fillId="0" borderId="0" xfId="83" applyNumberFormat="1" applyFont="1" applyFill="1" applyBorder="1" applyAlignment="1" applyProtection="1">
      <alignment horizontal="right" vertical="center"/>
      <protection/>
    </xf>
    <xf numFmtId="3" fontId="9" fillId="0" borderId="65" xfId="53" applyNumberFormat="1" applyFont="1" applyFill="1" applyBorder="1" applyAlignment="1">
      <alignment horizontal="center" vertical="center" wrapText="1"/>
      <protection/>
    </xf>
    <xf numFmtId="3" fontId="9" fillId="0" borderId="62" xfId="53" applyNumberFormat="1" applyFont="1" applyFill="1" applyBorder="1" applyAlignment="1">
      <alignment horizontal="center" vertical="center" wrapText="1"/>
      <protection/>
    </xf>
    <xf numFmtId="3" fontId="9" fillId="0" borderId="24" xfId="53" applyNumberFormat="1" applyFont="1" applyFill="1" applyBorder="1" applyAlignment="1">
      <alignment horizontal="center" vertical="center" wrapText="1"/>
      <protection/>
    </xf>
    <xf numFmtId="3" fontId="28" fillId="0" borderId="86" xfId="53" applyNumberFormat="1" applyFont="1" applyFill="1" applyBorder="1" applyAlignment="1">
      <alignment horizontal="center" vertical="center" wrapText="1"/>
      <protection/>
    </xf>
    <xf numFmtId="3" fontId="28" fillId="0" borderId="15" xfId="53" applyNumberFormat="1" applyFont="1" applyFill="1" applyBorder="1" applyAlignment="1">
      <alignment horizontal="center" vertical="center" wrapText="1"/>
      <protection/>
    </xf>
    <xf numFmtId="3" fontId="28" fillId="0" borderId="25" xfId="53" applyNumberFormat="1" applyFont="1" applyFill="1" applyBorder="1" applyAlignment="1">
      <alignment horizontal="center" vertical="center" wrapText="1"/>
      <protection/>
    </xf>
    <xf numFmtId="3" fontId="4" fillId="0" borderId="12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15" xfId="53" applyNumberFormat="1" applyFont="1" applyFill="1" applyBorder="1" applyAlignment="1">
      <alignment horizontal="center" vertical="center" wrapText="1"/>
      <protection/>
    </xf>
    <xf numFmtId="3" fontId="4" fillId="0" borderId="41" xfId="53" applyNumberFormat="1" applyFont="1" applyFill="1" applyBorder="1" applyAlignment="1">
      <alignment horizontal="center" vertical="center" wrapText="1"/>
      <protection/>
    </xf>
    <xf numFmtId="4" fontId="4" fillId="0" borderId="14" xfId="83" applyNumberFormat="1" applyFont="1" applyFill="1" applyBorder="1" applyAlignment="1" applyProtection="1">
      <alignment horizontal="right" vertical="center"/>
      <protection/>
    </xf>
    <xf numFmtId="4" fontId="4" fillId="0" borderId="34" xfId="83" applyNumberFormat="1" applyFont="1" applyFill="1" applyBorder="1" applyAlignment="1" applyProtection="1">
      <alignment horizontal="right" vertical="center"/>
      <protection/>
    </xf>
    <xf numFmtId="4" fontId="4" fillId="0" borderId="51" xfId="83" applyNumberFormat="1" applyFont="1" applyFill="1" applyBorder="1" applyAlignment="1" applyProtection="1">
      <alignment horizontal="right" vertical="center"/>
      <protection/>
    </xf>
    <xf numFmtId="4" fontId="4" fillId="0" borderId="69" xfId="83" applyNumberFormat="1" applyFont="1" applyFill="1" applyBorder="1" applyAlignment="1" applyProtection="1">
      <alignment horizontal="right" vertical="center"/>
      <protection/>
    </xf>
    <xf numFmtId="165" fontId="3" fillId="0" borderId="30" xfId="70" applyFont="1" applyFill="1" applyBorder="1" applyAlignment="1" applyProtection="1">
      <alignment horizontal="center" vertical="center"/>
      <protection/>
    </xf>
    <xf numFmtId="165" fontId="3" fillId="0" borderId="61" xfId="70" applyFont="1" applyFill="1" applyBorder="1" applyAlignment="1" applyProtection="1">
      <alignment horizontal="center" vertical="center"/>
      <protection/>
    </xf>
    <xf numFmtId="165" fontId="3" fillId="0" borderId="12" xfId="83" applyFont="1" applyFill="1" applyBorder="1" applyAlignment="1" applyProtection="1">
      <alignment horizontal="right" vertical="center"/>
      <protection/>
    </xf>
    <xf numFmtId="165" fontId="3" fillId="0" borderId="0" xfId="83" applyFont="1" applyFill="1" applyBorder="1" applyAlignment="1" applyProtection="1">
      <alignment horizontal="right" vertical="center"/>
      <protection/>
    </xf>
    <xf numFmtId="2" fontId="4" fillId="0" borderId="12" xfId="83" applyNumberFormat="1" applyFont="1" applyFill="1" applyBorder="1" applyAlignment="1" applyProtection="1">
      <alignment horizontal="right" vertical="center"/>
      <protection/>
    </xf>
    <xf numFmtId="2" fontId="4" fillId="0" borderId="0" xfId="83" applyNumberFormat="1" applyFont="1" applyFill="1" applyBorder="1" applyAlignment="1" applyProtection="1">
      <alignment horizontal="right" vertical="center"/>
      <protection/>
    </xf>
    <xf numFmtId="4" fontId="4" fillId="0" borderId="38" xfId="83" applyNumberFormat="1" applyFont="1" applyFill="1" applyBorder="1" applyAlignment="1" applyProtection="1">
      <alignment horizontal="right" vertical="center"/>
      <protection/>
    </xf>
    <xf numFmtId="4" fontId="3" fillId="0" borderId="58" xfId="83" applyNumberFormat="1" applyFont="1" applyFill="1" applyBorder="1" applyAlignment="1" applyProtection="1">
      <alignment horizontal="right" vertical="center"/>
      <protection/>
    </xf>
    <xf numFmtId="165" fontId="0" fillId="0" borderId="12" xfId="83" applyFill="1" applyBorder="1" applyAlignment="1" applyProtection="1">
      <alignment horizontal="right" vertical="center"/>
      <protection/>
    </xf>
    <xf numFmtId="165" fontId="0" fillId="0" borderId="0" xfId="83" applyFill="1" applyBorder="1" applyAlignment="1" applyProtection="1">
      <alignment horizontal="right" vertical="center"/>
      <protection/>
    </xf>
    <xf numFmtId="0" fontId="4" fillId="0" borderId="60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/>
      <protection/>
    </xf>
    <xf numFmtId="0" fontId="4" fillId="0" borderId="61" xfId="53" applyFont="1" applyFill="1" applyBorder="1" applyAlignment="1">
      <alignment horizontal="center" vertical="center"/>
      <protection/>
    </xf>
    <xf numFmtId="165" fontId="4" fillId="0" borderId="38" xfId="83" applyFont="1" applyFill="1" applyBorder="1" applyAlignment="1">
      <alignment horizontal="center" vertical="center"/>
    </xf>
    <xf numFmtId="165" fontId="4" fillId="0" borderId="70" xfId="70" applyFont="1" applyFill="1" applyBorder="1" applyAlignment="1" applyProtection="1">
      <alignment horizontal="center" vertical="center"/>
      <protection/>
    </xf>
    <xf numFmtId="165" fontId="4" fillId="0" borderId="83" xfId="70" applyFont="1" applyFill="1" applyBorder="1" applyAlignment="1" applyProtection="1">
      <alignment horizontal="center" vertical="center"/>
      <protection/>
    </xf>
    <xf numFmtId="165" fontId="0" fillId="0" borderId="58" xfId="83" applyFont="1" applyFill="1" applyBorder="1" applyAlignment="1" applyProtection="1">
      <alignment horizontal="right" vertical="center"/>
      <protection/>
    </xf>
    <xf numFmtId="165" fontId="0" fillId="0" borderId="0" xfId="83" applyFont="1" applyFill="1" applyBorder="1" applyAlignment="1" applyProtection="1">
      <alignment horizontal="right" vertical="center"/>
      <protection/>
    </xf>
    <xf numFmtId="165" fontId="0" fillId="0" borderId="22" xfId="83" applyFont="1" applyFill="1" applyBorder="1" applyAlignment="1" applyProtection="1">
      <alignment horizontal="right" vertical="center"/>
      <protection/>
    </xf>
    <xf numFmtId="3" fontId="4" fillId="0" borderId="21" xfId="53" applyNumberFormat="1" applyFont="1" applyFill="1" applyBorder="1" applyAlignment="1">
      <alignment horizontal="center" vertical="center"/>
      <protection/>
    </xf>
    <xf numFmtId="3" fontId="4" fillId="0" borderId="23" xfId="53" applyNumberFormat="1" applyFont="1" applyFill="1" applyBorder="1" applyAlignment="1">
      <alignment horizontal="center" vertical="center"/>
      <protection/>
    </xf>
    <xf numFmtId="3" fontId="4" fillId="0" borderId="42" xfId="53" applyNumberFormat="1" applyFont="1" applyFill="1" applyBorder="1" applyAlignment="1">
      <alignment horizontal="center" vertical="center"/>
      <protection/>
    </xf>
    <xf numFmtId="3" fontId="4" fillId="0" borderId="45" xfId="53" applyNumberFormat="1" applyFont="1" applyFill="1" applyBorder="1" applyAlignment="1">
      <alignment horizontal="center" vertical="center"/>
      <protection/>
    </xf>
    <xf numFmtId="3" fontId="4" fillId="0" borderId="69" xfId="53" applyNumberFormat="1" applyFont="1" applyFill="1" applyBorder="1" applyAlignment="1">
      <alignment horizontal="center" vertical="center"/>
      <protection/>
    </xf>
    <xf numFmtId="165" fontId="9" fillId="0" borderId="60" xfId="83" applyFont="1" applyFill="1" applyBorder="1" applyAlignment="1">
      <alignment horizontal="center" vertical="center"/>
    </xf>
    <xf numFmtId="165" fontId="4" fillId="0" borderId="21" xfId="83" applyFont="1" applyFill="1" applyBorder="1" applyAlignment="1">
      <alignment horizontal="center" vertical="center"/>
    </xf>
    <xf numFmtId="3" fontId="4" fillId="0" borderId="38" xfId="53" applyNumberFormat="1" applyFont="1" applyFill="1" applyBorder="1" applyAlignment="1">
      <alignment horizontal="center" vertical="center" wrapText="1"/>
      <protection/>
    </xf>
    <xf numFmtId="3" fontId="4" fillId="0" borderId="42" xfId="53" applyNumberFormat="1" applyFont="1" applyFill="1" applyBorder="1" applyAlignment="1">
      <alignment horizontal="center" vertical="center" wrapText="1"/>
      <protection/>
    </xf>
    <xf numFmtId="165" fontId="4" fillId="0" borderId="52" xfId="70" applyFont="1" applyFill="1" applyBorder="1" applyAlignment="1" applyProtection="1">
      <alignment horizontal="center" vertical="center"/>
      <protection/>
    </xf>
    <xf numFmtId="165" fontId="4" fillId="0" borderId="32" xfId="70" applyFont="1" applyFill="1" applyBorder="1" applyAlignment="1" applyProtection="1">
      <alignment horizontal="center" vertical="center"/>
      <protection/>
    </xf>
    <xf numFmtId="165" fontId="4" fillId="0" borderId="59" xfId="70" applyFont="1" applyFill="1" applyBorder="1" applyAlignment="1" applyProtection="1">
      <alignment horizontal="center" vertical="center"/>
      <protection/>
    </xf>
    <xf numFmtId="165" fontId="9" fillId="0" borderId="42" xfId="83" applyFont="1" applyFill="1" applyBorder="1" applyAlignment="1">
      <alignment horizontal="center" vertical="center"/>
    </xf>
    <xf numFmtId="165" fontId="9" fillId="0" borderId="45" xfId="83" applyFont="1" applyFill="1" applyBorder="1" applyAlignment="1">
      <alignment horizontal="center" vertical="center"/>
    </xf>
    <xf numFmtId="165" fontId="9" fillId="0" borderId="69" xfId="83" applyFont="1" applyFill="1" applyBorder="1" applyAlignment="1">
      <alignment horizontal="center" vertical="center"/>
    </xf>
    <xf numFmtId="165" fontId="9" fillId="0" borderId="32" xfId="83" applyFont="1" applyFill="1" applyBorder="1" applyAlignment="1">
      <alignment horizontal="center" vertical="center"/>
    </xf>
    <xf numFmtId="165" fontId="9" fillId="0" borderId="59" xfId="83" applyFont="1" applyFill="1" applyBorder="1" applyAlignment="1">
      <alignment horizontal="center" vertical="center"/>
    </xf>
    <xf numFmtId="165" fontId="9" fillId="0" borderId="52" xfId="83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55" applyFont="1" applyFill="1" applyBorder="1" applyAlignment="1">
      <alignment horizontal="left" indent="7"/>
      <protection/>
    </xf>
    <xf numFmtId="0" fontId="3" fillId="0" borderId="0" xfId="55" applyFont="1" applyFill="1" applyBorder="1" applyAlignment="1">
      <alignment horizontal="left" indent="8"/>
      <protection/>
    </xf>
    <xf numFmtId="0" fontId="3" fillId="0" borderId="0" xfId="55" applyFont="1" applyFill="1" applyBorder="1" applyAlignment="1">
      <alignment horizontal="left" vertical="center" indent="7"/>
      <protection/>
    </xf>
    <xf numFmtId="0" fontId="3" fillId="0" borderId="80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59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87" xfId="55" applyFont="1" applyFill="1" applyBorder="1" applyAlignment="1">
      <alignment horizontal="center" vertical="center"/>
      <protection/>
    </xf>
    <xf numFmtId="0" fontId="3" fillId="0" borderId="88" xfId="55" applyFont="1" applyFill="1" applyBorder="1" applyAlignment="1">
      <alignment horizontal="center" vertical="center"/>
      <protection/>
    </xf>
    <xf numFmtId="0" fontId="3" fillId="0" borderId="89" xfId="55" applyFont="1" applyFill="1" applyBorder="1" applyAlignment="1">
      <alignment horizontal="center" vertical="center"/>
      <protection/>
    </xf>
    <xf numFmtId="0" fontId="21" fillId="0" borderId="5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top" wrapText="1"/>
    </xf>
    <xf numFmtId="0" fontId="17" fillId="0" borderId="45" xfId="0" applyFont="1" applyFill="1" applyBorder="1" applyAlignment="1">
      <alignment horizontal="center" vertical="top" wrapText="1"/>
    </xf>
    <xf numFmtId="0" fontId="17" fillId="0" borderId="69" xfId="0" applyFont="1" applyFill="1" applyBorder="1" applyAlignment="1">
      <alignment horizontal="center" vertical="top" wrapText="1"/>
    </xf>
    <xf numFmtId="49" fontId="21" fillId="0" borderId="52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0" fontId="17" fillId="0" borderId="42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33" borderId="75" xfId="0" applyFont="1" applyFill="1" applyBorder="1" applyAlignment="1">
      <alignment horizontal="left" vertical="center" wrapText="1"/>
    </xf>
    <xf numFmtId="0" fontId="17" fillId="33" borderId="39" xfId="0" applyFont="1" applyFill="1" applyBorder="1" applyAlignment="1">
      <alignment horizontal="left" vertical="center" wrapText="1"/>
    </xf>
    <xf numFmtId="0" fontId="17" fillId="33" borderId="56" xfId="0" applyFont="1" applyFill="1" applyBorder="1" applyAlignment="1">
      <alignment horizontal="left" vertical="center" wrapText="1"/>
    </xf>
    <xf numFmtId="164" fontId="21" fillId="0" borderId="42" xfId="0" applyNumberFormat="1" applyFont="1" applyFill="1" applyBorder="1" applyAlignment="1">
      <alignment horizontal="center" vertical="center"/>
    </xf>
    <xf numFmtId="164" fontId="21" fillId="0" borderId="45" xfId="0" applyNumberFormat="1" applyFont="1" applyFill="1" applyBorder="1" applyAlignment="1">
      <alignment horizontal="center" vertical="center"/>
    </xf>
    <xf numFmtId="164" fontId="21" fillId="0" borderId="69" xfId="0" applyNumberFormat="1" applyFont="1" applyFill="1" applyBorder="1" applyAlignment="1">
      <alignment horizontal="center" vertical="center"/>
    </xf>
    <xf numFmtId="165" fontId="21" fillId="0" borderId="38" xfId="73" applyNumberFormat="1" applyFont="1" applyFill="1" applyBorder="1" applyAlignment="1" applyProtection="1">
      <alignment horizontal="center" vertical="center"/>
      <protection/>
    </xf>
    <xf numFmtId="165" fontId="21" fillId="33" borderId="58" xfId="73" applyNumberFormat="1" applyFont="1" applyFill="1" applyBorder="1" applyAlignment="1" applyProtection="1">
      <alignment horizontal="center" vertical="center" wrapText="1"/>
      <protection/>
    </xf>
    <xf numFmtId="165" fontId="21" fillId="33" borderId="22" xfId="73" applyNumberFormat="1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0" fontId="17" fillId="0" borderId="69" xfId="0" applyFont="1" applyFill="1" applyBorder="1" applyAlignment="1">
      <alignment horizontal="left" vertical="center"/>
    </xf>
    <xf numFmtId="165" fontId="17" fillId="0" borderId="38" xfId="73" applyNumberFormat="1" applyFont="1" applyFill="1" applyBorder="1" applyAlignment="1" applyProtection="1">
      <alignment horizontal="center" vertical="center"/>
      <protection/>
    </xf>
    <xf numFmtId="165" fontId="21" fillId="0" borderId="16" xfId="73" applyNumberFormat="1" applyFont="1" applyFill="1" applyBorder="1" applyAlignment="1" applyProtection="1">
      <alignment horizontal="center" vertical="center"/>
      <protection/>
    </xf>
    <xf numFmtId="165" fontId="21" fillId="0" borderId="12" xfId="73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43" fontId="21" fillId="0" borderId="38" xfId="0" applyNumberFormat="1" applyFont="1" applyFill="1" applyBorder="1" applyAlignment="1">
      <alignment horizontal="center" vertical="center"/>
    </xf>
    <xf numFmtId="43" fontId="17" fillId="0" borderId="3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65" fontId="21" fillId="0" borderId="42" xfId="73" applyNumberFormat="1" applyFont="1" applyFill="1" applyBorder="1" applyAlignment="1" applyProtection="1">
      <alignment horizontal="center" vertical="top" wrapText="1"/>
      <protection/>
    </xf>
    <xf numFmtId="165" fontId="21" fillId="0" borderId="45" xfId="73" applyNumberFormat="1" applyFont="1" applyFill="1" applyBorder="1" applyAlignment="1" applyProtection="1">
      <alignment horizontal="center" vertical="top" wrapText="1"/>
      <protection/>
    </xf>
    <xf numFmtId="165" fontId="21" fillId="0" borderId="69" xfId="73" applyNumberFormat="1" applyFont="1" applyFill="1" applyBorder="1" applyAlignment="1" applyProtection="1">
      <alignment horizontal="center" vertical="top" wrapText="1"/>
      <protection/>
    </xf>
    <xf numFmtId="165" fontId="21" fillId="0" borderId="58" xfId="73" applyNumberFormat="1" applyFont="1" applyFill="1" applyBorder="1" applyAlignment="1" applyProtection="1">
      <alignment horizontal="center" vertical="center"/>
      <protection/>
    </xf>
    <xf numFmtId="165" fontId="21" fillId="0" borderId="22" xfId="73" applyNumberFormat="1" applyFont="1" applyFill="1" applyBorder="1" applyAlignment="1" applyProtection="1">
      <alignment horizontal="center" vertical="center"/>
      <protection/>
    </xf>
    <xf numFmtId="165" fontId="17" fillId="33" borderId="42" xfId="73" applyNumberFormat="1" applyFont="1" applyFill="1" applyBorder="1" applyAlignment="1" applyProtection="1">
      <alignment horizontal="center" vertical="center"/>
      <protection/>
    </xf>
    <xf numFmtId="165" fontId="17" fillId="33" borderId="69" xfId="73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left" vertical="center" wrapText="1"/>
    </xf>
    <xf numFmtId="165" fontId="21" fillId="33" borderId="38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165" fontId="21" fillId="0" borderId="38" xfId="73" applyNumberFormat="1" applyFont="1" applyFill="1" applyBorder="1" applyAlignment="1" applyProtection="1">
      <alignment horizontal="center" vertical="top" wrapText="1"/>
      <protection/>
    </xf>
    <xf numFmtId="165" fontId="17" fillId="0" borderId="58" xfId="73" applyNumberFormat="1" applyFont="1" applyFill="1" applyBorder="1" applyAlignment="1" applyProtection="1">
      <alignment horizontal="center" vertical="center" wrapText="1"/>
      <protection/>
    </xf>
    <xf numFmtId="165" fontId="17" fillId="0" borderId="22" xfId="73" applyNumberFormat="1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165" fontId="21" fillId="0" borderId="42" xfId="73" applyNumberFormat="1" applyFont="1" applyFill="1" applyBorder="1" applyAlignment="1" applyProtection="1">
      <alignment horizontal="center" vertical="center" wrapText="1"/>
      <protection/>
    </xf>
    <xf numFmtId="165" fontId="21" fillId="0" borderId="45" xfId="73" applyNumberFormat="1" applyFont="1" applyFill="1" applyBorder="1" applyAlignment="1" applyProtection="1">
      <alignment horizontal="center" vertical="center" wrapText="1"/>
      <protection/>
    </xf>
    <xf numFmtId="165" fontId="21" fillId="0" borderId="69" xfId="73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165" fontId="17" fillId="0" borderId="52" xfId="73" applyNumberFormat="1" applyFont="1" applyFill="1" applyBorder="1" applyAlignment="1" applyProtection="1">
      <alignment horizontal="center" vertical="center" wrapText="1"/>
      <protection/>
    </xf>
    <xf numFmtId="165" fontId="17" fillId="0" borderId="59" xfId="73" applyNumberFormat="1" applyFont="1" applyFill="1" applyBorder="1" applyAlignment="1" applyProtection="1">
      <alignment horizontal="center" vertical="center" wrapText="1"/>
      <protection/>
    </xf>
    <xf numFmtId="165" fontId="17" fillId="33" borderId="58" xfId="73" applyNumberFormat="1" applyFont="1" applyFill="1" applyBorder="1" applyAlignment="1" applyProtection="1">
      <alignment horizontal="center" vertical="center" wrapText="1"/>
      <protection/>
    </xf>
    <xf numFmtId="165" fontId="17" fillId="33" borderId="22" xfId="73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43" fontId="21" fillId="0" borderId="58" xfId="0" applyNumberFormat="1" applyFont="1" applyFill="1" applyBorder="1" applyAlignment="1">
      <alignment horizontal="center" vertical="center"/>
    </xf>
    <xf numFmtId="43" fontId="21" fillId="0" borderId="0" xfId="0" applyNumberFormat="1" applyFont="1" applyFill="1" applyBorder="1" applyAlignment="1">
      <alignment horizontal="center" vertical="center"/>
    </xf>
    <xf numFmtId="43" fontId="21" fillId="0" borderId="22" xfId="0" applyNumberFormat="1" applyFont="1" applyFill="1" applyBorder="1" applyAlignment="1">
      <alignment horizontal="center" vertical="center"/>
    </xf>
    <xf numFmtId="165" fontId="17" fillId="33" borderId="42" xfId="0" applyNumberFormat="1" applyFont="1" applyFill="1" applyBorder="1" applyAlignment="1">
      <alignment horizontal="center" vertical="center"/>
    </xf>
    <xf numFmtId="165" fontId="17" fillId="33" borderId="69" xfId="0" applyNumberFormat="1" applyFont="1" applyFill="1" applyBorder="1" applyAlignment="1">
      <alignment horizontal="center" vertical="center"/>
    </xf>
    <xf numFmtId="165" fontId="17" fillId="0" borderId="42" xfId="0" applyNumberFormat="1" applyFont="1" applyFill="1" applyBorder="1" applyAlignment="1">
      <alignment horizontal="center" vertical="center" wrapText="1"/>
    </xf>
    <xf numFmtId="165" fontId="17" fillId="0" borderId="45" xfId="0" applyNumberFormat="1" applyFont="1" applyFill="1" applyBorder="1" applyAlignment="1">
      <alignment horizontal="center" vertical="center" wrapText="1"/>
    </xf>
    <xf numFmtId="165" fontId="17" fillId="0" borderId="69" xfId="0" applyNumberFormat="1" applyFont="1" applyFill="1" applyBorder="1" applyAlignment="1">
      <alignment horizontal="center" vertical="center" wrapText="1"/>
    </xf>
    <xf numFmtId="165" fontId="21" fillId="0" borderId="42" xfId="73" applyNumberFormat="1" applyFont="1" applyFill="1" applyBorder="1" applyAlignment="1">
      <alignment horizontal="center" vertical="center"/>
    </xf>
    <xf numFmtId="165" fontId="21" fillId="0" borderId="45" xfId="73" applyNumberFormat="1" applyFont="1" applyFill="1" applyBorder="1" applyAlignment="1">
      <alignment horizontal="center" vertical="center"/>
    </xf>
    <xf numFmtId="165" fontId="21" fillId="0" borderId="69" xfId="73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17" fillId="33" borderId="6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17" fillId="33" borderId="5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79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72" xfId="0" applyFont="1" applyFill="1" applyBorder="1" applyAlignment="1">
      <alignment horizontal="center" vertical="center" wrapText="1"/>
    </xf>
    <xf numFmtId="165" fontId="17" fillId="33" borderId="58" xfId="73" applyNumberFormat="1" applyFont="1" applyFill="1" applyBorder="1" applyAlignment="1" applyProtection="1">
      <alignment horizontal="center" vertical="center"/>
      <protection/>
    </xf>
    <xf numFmtId="165" fontId="17" fillId="33" borderId="22" xfId="73" applyNumberFormat="1" applyFont="1" applyFill="1" applyBorder="1" applyAlignment="1" applyProtection="1">
      <alignment horizontal="center" vertical="center"/>
      <protection/>
    </xf>
    <xf numFmtId="0" fontId="21" fillId="33" borderId="80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39" xfId="0" applyFont="1" applyFill="1" applyBorder="1" applyAlignment="1">
      <alignment horizontal="left" vertical="center" wrapText="1"/>
    </xf>
    <xf numFmtId="165" fontId="21" fillId="0" borderId="0" xfId="73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5" fontId="17" fillId="0" borderId="58" xfId="73" applyNumberFormat="1" applyFont="1" applyFill="1" applyBorder="1" applyAlignment="1" applyProtection="1">
      <alignment horizontal="right" vertical="center"/>
      <protection/>
    </xf>
    <xf numFmtId="165" fontId="17" fillId="0" borderId="0" xfId="73" applyNumberFormat="1" applyFont="1" applyFill="1" applyBorder="1" applyAlignment="1" applyProtection="1">
      <alignment horizontal="right" vertical="center"/>
      <protection/>
    </xf>
    <xf numFmtId="165" fontId="17" fillId="0" borderId="22" xfId="73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>
      <alignment horizontal="center" vertical="center" wrapText="1"/>
    </xf>
    <xf numFmtId="165" fontId="21" fillId="0" borderId="12" xfId="73" applyNumberFormat="1" applyFont="1" applyFill="1" applyBorder="1" applyAlignment="1" applyProtection="1">
      <alignment horizontal="center" vertical="center" wrapText="1"/>
      <protection/>
    </xf>
    <xf numFmtId="165" fontId="21" fillId="0" borderId="0" xfId="73" applyNumberFormat="1" applyFont="1" applyFill="1" applyBorder="1" applyAlignment="1" applyProtection="1">
      <alignment horizontal="center" vertical="center" wrapText="1"/>
      <protection/>
    </xf>
    <xf numFmtId="165" fontId="21" fillId="0" borderId="22" xfId="73" applyNumberFormat="1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3" fontId="17" fillId="0" borderId="42" xfId="0" applyNumberFormat="1" applyFont="1" applyFill="1" applyBorder="1" applyAlignment="1">
      <alignment horizontal="center" vertical="center" wrapText="1"/>
    </xf>
    <xf numFmtId="164" fontId="21" fillId="0" borderId="38" xfId="0" applyNumberFormat="1" applyFont="1" applyFill="1" applyBorder="1" applyAlignment="1">
      <alignment horizontal="center" vertical="center"/>
    </xf>
    <xf numFmtId="165" fontId="21" fillId="0" borderId="58" xfId="73" applyNumberFormat="1" applyFont="1" applyFill="1" applyBorder="1" applyAlignment="1" applyProtection="1">
      <alignment horizontal="center" vertical="center" wrapText="1"/>
      <protection/>
    </xf>
    <xf numFmtId="165" fontId="92" fillId="33" borderId="0" xfId="73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>
      <alignment horizontal="left" vertical="center" wrapText="1"/>
    </xf>
    <xf numFmtId="0" fontId="17" fillId="0" borderId="75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/>
    </xf>
    <xf numFmtId="0" fontId="17" fillId="0" borderId="6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165" fontId="21" fillId="0" borderId="42" xfId="73" applyNumberFormat="1" applyFont="1" applyFill="1" applyBorder="1" applyAlignment="1" applyProtection="1">
      <alignment horizontal="center" vertical="center"/>
      <protection/>
    </xf>
    <xf numFmtId="165" fontId="21" fillId="0" borderId="45" xfId="73" applyNumberFormat="1" applyFont="1" applyFill="1" applyBorder="1" applyAlignment="1" applyProtection="1">
      <alignment horizontal="center" vertical="center"/>
      <protection/>
    </xf>
    <xf numFmtId="0" fontId="17" fillId="33" borderId="80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21" fillId="0" borderId="78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165" fontId="21" fillId="0" borderId="23" xfId="73" applyNumberFormat="1" applyFont="1" applyFill="1" applyBorder="1" applyAlignment="1" applyProtection="1">
      <alignment horizontal="center" vertical="center"/>
      <protection/>
    </xf>
    <xf numFmtId="43" fontId="21" fillId="0" borderId="52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165" fontId="17" fillId="0" borderId="42" xfId="73" applyNumberFormat="1" applyFont="1" applyFill="1" applyBorder="1" applyAlignment="1" applyProtection="1">
      <alignment horizontal="center" vertical="center"/>
      <protection/>
    </xf>
    <xf numFmtId="165" fontId="17" fillId="0" borderId="69" xfId="73" applyNumberFormat="1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>
      <alignment horizontal="center" vertical="center"/>
    </xf>
    <xf numFmtId="165" fontId="17" fillId="33" borderId="38" xfId="0" applyNumberFormat="1" applyFont="1" applyFill="1" applyBorder="1" applyAlignment="1">
      <alignment horizontal="right" vertical="center" wrapText="1"/>
    </xf>
    <xf numFmtId="165" fontId="21" fillId="33" borderId="38" xfId="0" applyNumberFormat="1" applyFont="1" applyFill="1" applyBorder="1" applyAlignment="1">
      <alignment horizontal="center" vertical="top" wrapText="1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59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165" fontId="21" fillId="0" borderId="60" xfId="73" applyNumberFormat="1" applyFont="1" applyFill="1" applyBorder="1" applyAlignment="1" applyProtection="1">
      <alignment horizontal="center" vertical="center" wrapText="1"/>
      <protection/>
    </xf>
    <xf numFmtId="165" fontId="21" fillId="0" borderId="61" xfId="73" applyNumberFormat="1" applyFont="1" applyFill="1" applyBorder="1" applyAlignment="1" applyProtection="1">
      <alignment horizontal="center" vertical="center" wrapText="1"/>
      <protection/>
    </xf>
    <xf numFmtId="165" fontId="17" fillId="33" borderId="42" xfId="73" applyNumberFormat="1" applyFont="1" applyFill="1" applyBorder="1" applyAlignment="1" applyProtection="1">
      <alignment horizontal="center" vertical="center" wrapText="1"/>
      <protection/>
    </xf>
    <xf numFmtId="165" fontId="17" fillId="33" borderId="69" xfId="73" applyNumberFormat="1" applyFont="1" applyFill="1" applyBorder="1" applyAlignment="1" applyProtection="1">
      <alignment horizontal="center" vertical="center" wrapText="1"/>
      <protection/>
    </xf>
    <xf numFmtId="165" fontId="17" fillId="0" borderId="12" xfId="73" applyNumberFormat="1" applyFont="1" applyFill="1" applyBorder="1" applyAlignment="1" applyProtection="1">
      <alignment horizontal="center" vertical="center" wrapText="1"/>
      <protection/>
    </xf>
    <xf numFmtId="165" fontId="17" fillId="0" borderId="0" xfId="73" applyNumberFormat="1" applyFont="1" applyFill="1" applyBorder="1" applyAlignment="1" applyProtection="1">
      <alignment horizontal="center" vertical="center" wrapText="1"/>
      <protection/>
    </xf>
    <xf numFmtId="0" fontId="17" fillId="0" borderId="80" xfId="0" applyFont="1" applyFill="1" applyBorder="1" applyAlignment="1">
      <alignment horizontal="center" vertical="center" wrapText="1"/>
    </xf>
    <xf numFmtId="164" fontId="21" fillId="0" borderId="42" xfId="0" applyNumberFormat="1" applyFont="1" applyFill="1" applyBorder="1" applyAlignment="1">
      <alignment horizontal="center"/>
    </xf>
    <xf numFmtId="164" fontId="21" fillId="0" borderId="45" xfId="0" applyNumberFormat="1" applyFont="1" applyFill="1" applyBorder="1" applyAlignment="1">
      <alignment horizontal="center"/>
    </xf>
    <xf numFmtId="164" fontId="21" fillId="0" borderId="69" xfId="0" applyNumberFormat="1" applyFont="1" applyFill="1" applyBorder="1" applyAlignment="1">
      <alignment horizontal="center"/>
    </xf>
    <xf numFmtId="165" fontId="17" fillId="0" borderId="60" xfId="73" applyNumberFormat="1" applyFont="1" applyFill="1" applyBorder="1" applyAlignment="1" applyProtection="1">
      <alignment horizontal="right" vertical="center"/>
      <protection/>
    </xf>
    <xf numFmtId="165" fontId="17" fillId="0" borderId="30" xfId="73" applyNumberFormat="1" applyFont="1" applyFill="1" applyBorder="1" applyAlignment="1" applyProtection="1">
      <alignment horizontal="right" vertical="center"/>
      <protection/>
    </xf>
    <xf numFmtId="165" fontId="17" fillId="0" borderId="61" xfId="73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>
      <alignment horizontal="center" vertical="center" wrapText="1"/>
    </xf>
    <xf numFmtId="165" fontId="17" fillId="0" borderId="25" xfId="73" applyNumberFormat="1" applyFont="1" applyFill="1" applyBorder="1" applyAlignment="1" applyProtection="1">
      <alignment horizontal="center" vertical="center" wrapText="1"/>
      <protection/>
    </xf>
    <xf numFmtId="165" fontId="17" fillId="0" borderId="39" xfId="73" applyNumberFormat="1" applyFont="1" applyFill="1" applyBorder="1" applyAlignment="1" applyProtection="1">
      <alignment horizontal="center" vertical="center" wrapText="1"/>
      <protection/>
    </xf>
    <xf numFmtId="165" fontId="17" fillId="0" borderId="56" xfId="73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indent="7"/>
    </xf>
    <xf numFmtId="0" fontId="17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5" fontId="21" fillId="33" borderId="12" xfId="73" applyNumberFormat="1" applyFont="1" applyFill="1" applyBorder="1" applyAlignment="1" applyProtection="1">
      <alignment horizontal="center" vertical="center" wrapText="1"/>
      <protection/>
    </xf>
    <xf numFmtId="165" fontId="21" fillId="33" borderId="0" xfId="73" applyNumberFormat="1" applyFont="1" applyFill="1" applyBorder="1" applyAlignment="1" applyProtection="1">
      <alignment horizontal="center" vertical="center" wrapText="1"/>
      <protection/>
    </xf>
    <xf numFmtId="165" fontId="17" fillId="0" borderId="42" xfId="0" applyNumberFormat="1" applyFont="1" applyFill="1" applyBorder="1" applyAlignment="1">
      <alignment horizontal="center" vertical="center"/>
    </xf>
    <xf numFmtId="165" fontId="17" fillId="0" borderId="45" xfId="0" applyNumberFormat="1" applyFont="1" applyFill="1" applyBorder="1" applyAlignment="1">
      <alignment horizontal="center" vertical="center"/>
    </xf>
    <xf numFmtId="165" fontId="17" fillId="0" borderId="69" xfId="0" applyNumberFormat="1" applyFont="1" applyFill="1" applyBorder="1" applyAlignment="1">
      <alignment horizontal="center" vertical="center"/>
    </xf>
    <xf numFmtId="165" fontId="21" fillId="0" borderId="35" xfId="73" applyNumberFormat="1" applyFont="1" applyFill="1" applyBorder="1" applyAlignment="1" applyProtection="1">
      <alignment horizontal="center" vertical="center"/>
      <protection/>
    </xf>
    <xf numFmtId="165" fontId="21" fillId="0" borderId="30" xfId="73" applyNumberFormat="1" applyFont="1" applyFill="1" applyBorder="1" applyAlignment="1" applyProtection="1">
      <alignment horizontal="center" vertical="center"/>
      <protection/>
    </xf>
    <xf numFmtId="165" fontId="21" fillId="0" borderId="61" xfId="73" applyNumberFormat="1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5" fontId="17" fillId="33" borderId="52" xfId="73" applyNumberFormat="1" applyFont="1" applyFill="1" applyBorder="1" applyAlignment="1" applyProtection="1">
      <alignment horizontal="center" vertical="center"/>
      <protection/>
    </xf>
    <xf numFmtId="165" fontId="17" fillId="33" borderId="59" xfId="73" applyNumberFormat="1" applyFont="1" applyFill="1" applyBorder="1" applyAlignment="1" applyProtection="1">
      <alignment horizontal="center" vertical="center"/>
      <protection/>
    </xf>
    <xf numFmtId="165" fontId="17" fillId="0" borderId="42" xfId="73" applyNumberFormat="1" applyFont="1" applyFill="1" applyBorder="1" applyAlignment="1" applyProtection="1">
      <alignment horizontal="right" vertical="center"/>
      <protection/>
    </xf>
    <xf numFmtId="165" fontId="17" fillId="0" borderId="45" xfId="73" applyNumberFormat="1" applyFont="1" applyFill="1" applyBorder="1" applyAlignment="1" applyProtection="1">
      <alignment horizontal="right" vertical="center"/>
      <protection/>
    </xf>
    <xf numFmtId="165" fontId="17" fillId="0" borderId="69" xfId="73" applyNumberFormat="1" applyFont="1" applyFill="1" applyBorder="1" applyAlignment="1" applyProtection="1">
      <alignment horizontal="right" vertical="center"/>
      <protection/>
    </xf>
    <xf numFmtId="165" fontId="17" fillId="0" borderId="52" xfId="73" applyNumberFormat="1" applyFont="1" applyFill="1" applyBorder="1" applyAlignment="1" applyProtection="1">
      <alignment horizontal="right" vertical="center"/>
      <protection/>
    </xf>
    <xf numFmtId="165" fontId="17" fillId="0" borderId="32" xfId="73" applyNumberFormat="1" applyFont="1" applyFill="1" applyBorder="1" applyAlignment="1" applyProtection="1">
      <alignment horizontal="right" vertical="center"/>
      <protection/>
    </xf>
    <xf numFmtId="165" fontId="17" fillId="0" borderId="59" xfId="73" applyNumberFormat="1" applyFont="1" applyFill="1" applyBorder="1" applyAlignment="1" applyProtection="1">
      <alignment horizontal="right" vertical="center"/>
      <protection/>
    </xf>
    <xf numFmtId="165" fontId="17" fillId="0" borderId="33" xfId="73" applyNumberFormat="1" applyFont="1" applyFill="1" applyBorder="1" applyAlignment="1" applyProtection="1">
      <alignment horizontal="center" vertical="center" wrapText="1"/>
      <protection/>
    </xf>
    <xf numFmtId="165" fontId="17" fillId="0" borderId="32" xfId="73" applyNumberFormat="1" applyFont="1" applyFill="1" applyBorder="1" applyAlignment="1" applyProtection="1">
      <alignment horizontal="center" vertical="center" wrapText="1"/>
      <protection/>
    </xf>
    <xf numFmtId="165" fontId="21" fillId="0" borderId="15" xfId="73" applyNumberFormat="1" applyFont="1" applyFill="1" applyBorder="1" applyAlignment="1" applyProtection="1">
      <alignment horizontal="center" vertical="center"/>
      <protection/>
    </xf>
    <xf numFmtId="165" fontId="21" fillId="0" borderId="41" xfId="73" applyNumberFormat="1" applyFont="1" applyFill="1" applyBorder="1" applyAlignment="1" applyProtection="1">
      <alignment horizontal="center" vertical="center"/>
      <protection/>
    </xf>
    <xf numFmtId="165" fontId="21" fillId="0" borderId="72" xfId="73" applyNumberFormat="1" applyFont="1" applyFill="1" applyBorder="1" applyAlignment="1" applyProtection="1">
      <alignment horizontal="center" vertical="center"/>
      <protection/>
    </xf>
    <xf numFmtId="165" fontId="17" fillId="0" borderId="33" xfId="73" applyNumberFormat="1" applyFont="1" applyFill="1" applyBorder="1" applyAlignment="1" applyProtection="1">
      <alignment horizontal="center" vertical="center"/>
      <protection/>
    </xf>
    <xf numFmtId="165" fontId="17" fillId="0" borderId="32" xfId="73" applyNumberFormat="1" applyFont="1" applyFill="1" applyBorder="1" applyAlignment="1" applyProtection="1">
      <alignment horizontal="center" vertical="center"/>
      <protection/>
    </xf>
    <xf numFmtId="165" fontId="17" fillId="0" borderId="59" xfId="73" applyNumberFormat="1" applyFont="1" applyFill="1" applyBorder="1" applyAlignment="1" applyProtection="1">
      <alignment horizontal="center" vertical="center"/>
      <protection/>
    </xf>
    <xf numFmtId="0" fontId="17" fillId="0" borderId="5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165" fontId="17" fillId="0" borderId="42" xfId="73" applyNumberFormat="1" applyFont="1" applyFill="1" applyBorder="1" applyAlignment="1" applyProtection="1">
      <alignment horizontal="center" vertical="center" wrapText="1"/>
      <protection/>
    </xf>
    <xf numFmtId="165" fontId="17" fillId="0" borderId="45" xfId="73" applyNumberFormat="1" applyFont="1" applyFill="1" applyBorder="1" applyAlignment="1" applyProtection="1">
      <alignment horizontal="center" vertical="center" wrapText="1"/>
      <protection/>
    </xf>
    <xf numFmtId="165" fontId="17" fillId="0" borderId="69" xfId="73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165" fontId="0" fillId="0" borderId="38" xfId="62" applyFill="1" applyBorder="1" applyAlignment="1">
      <alignment horizontal="center" vertical="center"/>
    </xf>
    <xf numFmtId="165" fontId="3" fillId="0" borderId="38" xfId="62" applyFont="1" applyFill="1" applyBorder="1" applyAlignment="1" applyProtection="1">
      <alignment horizontal="center" vertical="center" wrapText="1"/>
      <protection/>
    </xf>
    <xf numFmtId="165" fontId="3" fillId="0" borderId="42" xfId="62" applyFont="1" applyFill="1" applyBorder="1" applyAlignment="1" applyProtection="1">
      <alignment horizontal="center" vertical="center" wrapText="1"/>
      <protection/>
    </xf>
    <xf numFmtId="165" fontId="3" fillId="0" borderId="69" xfId="62" applyFont="1" applyFill="1" applyBorder="1" applyAlignment="1" applyProtection="1">
      <alignment horizontal="center" vertical="center" wrapText="1"/>
      <protection/>
    </xf>
    <xf numFmtId="165" fontId="3" fillId="0" borderId="38" xfId="62" applyFont="1" applyFill="1" applyBorder="1" applyAlignment="1" applyProtection="1">
      <alignment horizontal="right" vertical="center" wrapText="1"/>
      <protection/>
    </xf>
    <xf numFmtId="165" fontId="3" fillId="0" borderId="30" xfId="62" applyFont="1" applyFill="1" applyBorder="1" applyAlignment="1" applyProtection="1">
      <alignment horizontal="center" vertical="center" wrapText="1"/>
      <protection/>
    </xf>
    <xf numFmtId="165" fontId="3" fillId="0" borderId="21" xfId="62" applyFont="1" applyFill="1" applyBorder="1" applyAlignment="1" applyProtection="1">
      <alignment horizontal="right" vertical="center" wrapText="1"/>
      <protection/>
    </xf>
    <xf numFmtId="0" fontId="3" fillId="0" borderId="42" xfId="0" applyFont="1" applyFill="1" applyBorder="1" applyAlignment="1">
      <alignment horizontal="center" vertical="center"/>
    </xf>
    <xf numFmtId="165" fontId="3" fillId="0" borderId="52" xfId="62" applyFont="1" applyFill="1" applyBorder="1" applyAlignment="1" applyProtection="1">
      <alignment horizontal="center" vertical="center" wrapText="1"/>
      <protection/>
    </xf>
    <xf numFmtId="165" fontId="3" fillId="0" borderId="32" xfId="62" applyFont="1" applyFill="1" applyBorder="1" applyAlignment="1" applyProtection="1">
      <alignment horizontal="center" vertical="center" wrapText="1"/>
      <protection/>
    </xf>
    <xf numFmtId="165" fontId="3" fillId="0" borderId="60" xfId="62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left" indent="7"/>
    </xf>
    <xf numFmtId="0" fontId="3" fillId="0" borderId="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3" fillId="0" borderId="0" xfId="0" applyFont="1" applyFill="1" applyBorder="1" applyAlignment="1">
      <alignment horizontal="left" indent="6"/>
    </xf>
    <xf numFmtId="43" fontId="4" fillId="0" borderId="52" xfId="0" applyNumberFormat="1" applyFont="1" applyFill="1" applyBorder="1" applyAlignment="1">
      <alignment horizontal="center" vertical="center"/>
    </xf>
    <xf numFmtId="43" fontId="4" fillId="0" borderId="32" xfId="0" applyNumberFormat="1" applyFont="1" applyFill="1" applyBorder="1" applyAlignment="1">
      <alignment horizontal="center" vertical="center"/>
    </xf>
    <xf numFmtId="43" fontId="4" fillId="0" borderId="59" xfId="0" applyNumberFormat="1" applyFont="1" applyFill="1" applyBorder="1" applyAlignment="1">
      <alignment horizontal="center" vertical="center"/>
    </xf>
    <xf numFmtId="43" fontId="4" fillId="0" borderId="59" xfId="0" applyNumberFormat="1" applyFont="1" applyFill="1" applyBorder="1" applyAlignment="1">
      <alignment horizontal="center" vertical="center" wrapText="1"/>
    </xf>
    <xf numFmtId="43" fontId="4" fillId="0" borderId="61" xfId="0" applyNumberFormat="1" applyFont="1" applyFill="1" applyBorder="1" applyAlignment="1">
      <alignment horizontal="center" vertical="center" wrapText="1"/>
    </xf>
    <xf numFmtId="43" fontId="4" fillId="0" borderId="60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43" fontId="4" fillId="0" borderId="61" xfId="0" applyNumberFormat="1" applyFont="1" applyFill="1" applyBorder="1" applyAlignment="1">
      <alignment horizontal="center" vertical="center"/>
    </xf>
    <xf numFmtId="43" fontId="4" fillId="0" borderId="42" xfId="0" applyNumberFormat="1" applyFont="1" applyFill="1" applyBorder="1" applyAlignment="1">
      <alignment horizontal="center" vertical="center"/>
    </xf>
    <xf numFmtId="43" fontId="4" fillId="0" borderId="69" xfId="0" applyNumberFormat="1" applyFont="1" applyFill="1" applyBorder="1" applyAlignment="1">
      <alignment horizontal="center" vertical="center"/>
    </xf>
    <xf numFmtId="165" fontId="4" fillId="0" borderId="42" xfId="62" applyFont="1" applyFill="1" applyBorder="1" applyAlignment="1" applyProtection="1">
      <alignment horizontal="left" vertical="center" wrapText="1"/>
      <protection/>
    </xf>
    <xf numFmtId="165" fontId="4" fillId="0" borderId="45" xfId="62" applyFont="1" applyFill="1" applyBorder="1" applyAlignment="1" applyProtection="1">
      <alignment horizontal="left" vertical="center" wrapText="1"/>
      <protection/>
    </xf>
    <xf numFmtId="165" fontId="4" fillId="0" borderId="69" xfId="62" applyFont="1" applyFill="1" applyBorder="1" applyAlignment="1" applyProtection="1">
      <alignment horizontal="left" vertical="center" wrapText="1"/>
      <protection/>
    </xf>
    <xf numFmtId="165" fontId="3" fillId="0" borderId="58" xfId="62" applyFont="1" applyFill="1" applyBorder="1" applyAlignment="1" applyProtection="1">
      <alignment horizontal="center" vertical="center" wrapText="1"/>
      <protection/>
    </xf>
    <xf numFmtId="165" fontId="3" fillId="0" borderId="22" xfId="62" applyFont="1" applyFill="1" applyBorder="1" applyAlignment="1" applyProtection="1">
      <alignment horizontal="center" vertical="center" wrapText="1"/>
      <protection/>
    </xf>
    <xf numFmtId="165" fontId="4" fillId="0" borderId="58" xfId="62" applyFont="1" applyFill="1" applyBorder="1" applyAlignment="1" applyProtection="1">
      <alignment horizontal="center" vertical="center" wrapText="1"/>
      <protection/>
    </xf>
    <xf numFmtId="165" fontId="4" fillId="0" borderId="22" xfId="62" applyFont="1" applyFill="1" applyBorder="1" applyAlignment="1" applyProtection="1">
      <alignment horizontal="center" vertical="center" wrapText="1"/>
      <protection/>
    </xf>
    <xf numFmtId="165" fontId="3" fillId="0" borderId="61" xfId="62" applyFont="1" applyFill="1" applyBorder="1" applyAlignment="1" applyProtection="1">
      <alignment horizontal="center" vertical="center" wrapText="1"/>
      <protection/>
    </xf>
    <xf numFmtId="165" fontId="3" fillId="0" borderId="0" xfId="62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>
      <alignment horizontal="center" vertical="center" wrapText="1"/>
    </xf>
    <xf numFmtId="43" fontId="4" fillId="0" borderId="52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165" fontId="4" fillId="0" borderId="21" xfId="62" applyFont="1" applyFill="1" applyBorder="1" applyAlignment="1" applyProtection="1">
      <alignment horizontal="center" vertical="center" wrapText="1"/>
      <protection/>
    </xf>
    <xf numFmtId="165" fontId="4" fillId="0" borderId="23" xfId="62" applyFont="1" applyFill="1" applyBorder="1" applyAlignment="1" applyProtection="1">
      <alignment horizontal="center" vertical="center" wrapText="1"/>
      <protection/>
    </xf>
    <xf numFmtId="165" fontId="4" fillId="0" borderId="60" xfId="62" applyFont="1" applyFill="1" applyBorder="1" applyAlignment="1" applyProtection="1">
      <alignment horizontal="center" vertical="center" wrapText="1"/>
      <protection/>
    </xf>
    <xf numFmtId="165" fontId="4" fillId="0" borderId="61" xfId="62" applyFont="1" applyFill="1" applyBorder="1" applyAlignment="1" applyProtection="1">
      <alignment horizontal="center" vertical="center" wrapText="1"/>
      <protection/>
    </xf>
    <xf numFmtId="165" fontId="4" fillId="0" borderId="58" xfId="62" applyFont="1" applyFill="1" applyBorder="1" applyAlignment="1" applyProtection="1">
      <alignment horizontal="right" vertical="center" wrapText="1"/>
      <protection/>
    </xf>
    <xf numFmtId="165" fontId="4" fillId="0" borderId="22" xfId="62" applyFont="1" applyFill="1" applyBorder="1" applyAlignment="1" applyProtection="1">
      <alignment horizontal="right" vertical="center" wrapText="1"/>
      <protection/>
    </xf>
    <xf numFmtId="165" fontId="3" fillId="0" borderId="58" xfId="62" applyFont="1" applyFill="1" applyBorder="1" applyAlignment="1">
      <alignment horizontal="center" vertical="center"/>
    </xf>
    <xf numFmtId="165" fontId="3" fillId="0" borderId="22" xfId="62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65" fontId="4" fillId="0" borderId="52" xfId="62" applyFont="1" applyFill="1" applyBorder="1" applyAlignment="1" applyProtection="1">
      <alignment horizontal="center" vertical="center" wrapText="1"/>
      <protection/>
    </xf>
    <xf numFmtId="165" fontId="4" fillId="0" borderId="59" xfId="62" applyFont="1" applyFill="1" applyBorder="1" applyAlignment="1" applyProtection="1">
      <alignment horizontal="center" vertical="center" wrapText="1"/>
      <protection/>
    </xf>
    <xf numFmtId="165" fontId="3" fillId="0" borderId="58" xfId="62" applyFont="1" applyFill="1" applyBorder="1" applyAlignment="1">
      <alignment horizontal="right" vertical="center"/>
    </xf>
    <xf numFmtId="165" fontId="3" fillId="0" borderId="22" xfId="62" applyFont="1" applyFill="1" applyBorder="1" applyAlignment="1">
      <alignment horizontal="right" vertical="center"/>
    </xf>
    <xf numFmtId="165" fontId="4" fillId="0" borderId="52" xfId="62" applyFont="1" applyFill="1" applyBorder="1" applyAlignment="1">
      <alignment horizontal="right" vertical="center"/>
    </xf>
    <xf numFmtId="165" fontId="4" fillId="0" borderId="59" xfId="62" applyFont="1" applyFill="1" applyBorder="1" applyAlignment="1">
      <alignment horizontal="right" vertical="center"/>
    </xf>
    <xf numFmtId="165" fontId="4" fillId="0" borderId="52" xfId="62" applyFont="1" applyFill="1" applyBorder="1" applyAlignment="1">
      <alignment horizontal="center" vertical="center"/>
    </xf>
    <xf numFmtId="165" fontId="4" fillId="0" borderId="32" xfId="62" applyFont="1" applyFill="1" applyBorder="1" applyAlignment="1">
      <alignment horizontal="center" vertical="center"/>
    </xf>
    <xf numFmtId="165" fontId="4" fillId="0" borderId="59" xfId="62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61" xfId="0" applyNumberFormat="1" applyFont="1" applyFill="1" applyBorder="1" applyAlignment="1">
      <alignment horizontal="center" wrapText="1"/>
    </xf>
    <xf numFmtId="0" fontId="97" fillId="0" borderId="0" xfId="50" applyFont="1" applyBorder="1" applyAlignment="1">
      <alignment horizontal="center" readingOrder="2"/>
      <protection/>
    </xf>
    <xf numFmtId="0" fontId="9" fillId="37" borderId="42" xfId="56" applyFont="1" applyFill="1" applyBorder="1" applyAlignment="1">
      <alignment horizontal="left" vertical="center" wrapText="1"/>
      <protection/>
    </xf>
    <xf numFmtId="0" fontId="9" fillId="37" borderId="45" xfId="56" applyFont="1" applyFill="1" applyBorder="1" applyAlignment="1">
      <alignment horizontal="left" vertical="center" wrapText="1"/>
      <protection/>
    </xf>
    <xf numFmtId="0" fontId="9" fillId="37" borderId="69" xfId="56" applyFont="1" applyFill="1" applyBorder="1" applyAlignment="1">
      <alignment horizontal="left" vertical="center" wrapText="1"/>
      <protection/>
    </xf>
    <xf numFmtId="0" fontId="0" fillId="0" borderId="42" xfId="56" applyFont="1" applyFill="1" applyBorder="1" applyAlignment="1">
      <alignment horizontal="left" vertical="center" wrapText="1"/>
      <protection/>
    </xf>
    <xf numFmtId="0" fontId="0" fillId="0" borderId="45" xfId="56" applyFont="1" applyFill="1" applyBorder="1" applyAlignment="1">
      <alignment horizontal="left" vertical="center" wrapText="1"/>
      <protection/>
    </xf>
    <xf numFmtId="0" fontId="0" fillId="0" borderId="69" xfId="56" applyFont="1" applyFill="1" applyBorder="1" applyAlignment="1">
      <alignment horizontal="left" vertical="center" wrapText="1"/>
      <protection/>
    </xf>
    <xf numFmtId="2" fontId="3" fillId="0" borderId="0" xfId="50" applyNumberFormat="1" applyFont="1" applyFill="1" applyBorder="1" applyAlignment="1">
      <alignment horizontal="left"/>
      <protection/>
    </xf>
    <xf numFmtId="0" fontId="96" fillId="0" borderId="0" xfId="50" applyFont="1" applyAlignment="1">
      <alignment horizontal="center" readingOrder="2"/>
      <protection/>
    </xf>
    <xf numFmtId="0" fontId="9" fillId="33" borderId="21" xfId="56" applyFont="1" applyFill="1" applyBorder="1" applyAlignment="1">
      <alignment horizontal="center" vertical="center" wrapText="1"/>
      <protection/>
    </xf>
    <xf numFmtId="0" fontId="9" fillId="33" borderId="23" xfId="56" applyFont="1" applyFill="1" applyBorder="1" applyAlignment="1">
      <alignment horizontal="center" vertical="center" wrapText="1"/>
      <protection/>
    </xf>
    <xf numFmtId="0" fontId="9" fillId="33" borderId="42" xfId="56" applyFont="1" applyFill="1" applyBorder="1" applyAlignment="1">
      <alignment horizontal="center" vertical="center" wrapText="1"/>
      <protection/>
    </xf>
    <xf numFmtId="0" fontId="9" fillId="33" borderId="69" xfId="56" applyFont="1" applyFill="1" applyBorder="1" applyAlignment="1">
      <alignment horizontal="center" vertical="center" wrapText="1"/>
      <protection/>
    </xf>
    <xf numFmtId="0" fontId="9" fillId="33" borderId="42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3" borderId="42" xfId="56" applyFont="1" applyFill="1" applyBorder="1" applyAlignment="1">
      <alignment horizontal="left" vertical="center" wrapText="1"/>
      <protection/>
    </xf>
    <xf numFmtId="0" fontId="9" fillId="33" borderId="45" xfId="56" applyFont="1" applyFill="1" applyBorder="1" applyAlignment="1">
      <alignment horizontal="left" vertical="center" wrapText="1"/>
      <protection/>
    </xf>
    <xf numFmtId="0" fontId="9" fillId="33" borderId="69" xfId="56" applyFont="1" applyFill="1" applyBorder="1" applyAlignment="1">
      <alignment horizontal="left" vertical="center" wrapText="1"/>
      <protection/>
    </xf>
    <xf numFmtId="0" fontId="0" fillId="33" borderId="42" xfId="56" applyFont="1" applyFill="1" applyBorder="1" applyAlignment="1">
      <alignment horizontal="left" vertical="center" wrapText="1"/>
      <protection/>
    </xf>
    <xf numFmtId="0" fontId="0" fillId="33" borderId="45" xfId="56" applyFont="1" applyFill="1" applyBorder="1" applyAlignment="1">
      <alignment horizontal="left" vertical="center" wrapText="1"/>
      <protection/>
    </xf>
    <xf numFmtId="0" fontId="0" fillId="33" borderId="69" xfId="56" applyFont="1" applyFill="1" applyBorder="1" applyAlignment="1">
      <alignment horizontal="left" vertical="center" wrapText="1"/>
      <protection/>
    </xf>
    <xf numFmtId="0" fontId="9" fillId="33" borderId="38" xfId="56" applyFont="1" applyFill="1" applyBorder="1" applyAlignment="1">
      <alignment horizontal="center" vertical="center" wrapText="1"/>
      <protection/>
    </xf>
    <xf numFmtId="0" fontId="9" fillId="33" borderId="21" xfId="56" applyFont="1" applyFill="1" applyBorder="1" applyAlignment="1">
      <alignment horizontal="center" vertical="center"/>
      <protection/>
    </xf>
    <xf numFmtId="0" fontId="9" fillId="33" borderId="23" xfId="56" applyFont="1" applyFill="1" applyBorder="1" applyAlignment="1">
      <alignment horizontal="center" vertical="center"/>
      <protection/>
    </xf>
    <xf numFmtId="0" fontId="9" fillId="0" borderId="42" xfId="56" applyFont="1" applyFill="1" applyBorder="1" applyAlignment="1">
      <alignment horizontal="left" vertical="center"/>
      <protection/>
    </xf>
    <xf numFmtId="0" fontId="9" fillId="0" borderId="45" xfId="56" applyFont="1" applyFill="1" applyBorder="1" applyAlignment="1">
      <alignment horizontal="left" vertical="center"/>
      <protection/>
    </xf>
    <xf numFmtId="0" fontId="9" fillId="0" borderId="69" xfId="56" applyFont="1" applyFill="1" applyBorder="1" applyAlignment="1">
      <alignment horizontal="left" vertical="center"/>
      <protection/>
    </xf>
    <xf numFmtId="0" fontId="9" fillId="37" borderId="38" xfId="56" applyFont="1" applyFill="1" applyBorder="1" applyAlignment="1">
      <alignment horizontal="center" vertical="center" wrapText="1"/>
      <protection/>
    </xf>
    <xf numFmtId="0" fontId="4" fillId="33" borderId="52" xfId="56" applyFont="1" applyFill="1" applyBorder="1" applyAlignment="1">
      <alignment horizontal="center" vertical="center" wrapText="1"/>
      <protection/>
    </xf>
    <xf numFmtId="0" fontId="4" fillId="33" borderId="32" xfId="56" applyFont="1" applyFill="1" applyBorder="1" applyAlignment="1">
      <alignment horizontal="center" vertical="center" wrapText="1"/>
      <protection/>
    </xf>
    <xf numFmtId="0" fontId="4" fillId="33" borderId="59" xfId="56" applyFont="1" applyFill="1" applyBorder="1" applyAlignment="1">
      <alignment horizontal="center" vertical="center" wrapText="1"/>
      <protection/>
    </xf>
    <xf numFmtId="0" fontId="4" fillId="33" borderId="60" xfId="56" applyFont="1" applyFill="1" applyBorder="1" applyAlignment="1">
      <alignment horizontal="center" vertical="center" wrapText="1"/>
      <protection/>
    </xf>
    <xf numFmtId="0" fontId="4" fillId="33" borderId="30" xfId="56" applyFont="1" applyFill="1" applyBorder="1" applyAlignment="1">
      <alignment horizontal="center" vertical="center" wrapText="1"/>
      <protection/>
    </xf>
    <xf numFmtId="0" fontId="4" fillId="33" borderId="61" xfId="56" applyFont="1" applyFill="1" applyBorder="1" applyAlignment="1">
      <alignment horizontal="center" vertical="center" wrapText="1"/>
      <protection/>
    </xf>
    <xf numFmtId="0" fontId="9" fillId="0" borderId="42" xfId="56" applyFont="1" applyFill="1" applyBorder="1" applyAlignment="1">
      <alignment horizontal="left" vertical="center" wrapText="1"/>
      <protection/>
    </xf>
    <xf numFmtId="0" fontId="9" fillId="0" borderId="45" xfId="56" applyFont="1" applyFill="1" applyBorder="1" applyAlignment="1">
      <alignment horizontal="left" vertical="center" wrapText="1"/>
      <protection/>
    </xf>
    <xf numFmtId="0" fontId="9" fillId="0" borderId="69" xfId="56" applyFont="1" applyFill="1" applyBorder="1" applyAlignment="1">
      <alignment horizontal="left" vertical="center" wrapText="1"/>
      <protection/>
    </xf>
    <xf numFmtId="165" fontId="9" fillId="0" borderId="42" xfId="83" applyFont="1" applyFill="1" applyBorder="1" applyAlignment="1">
      <alignment horizontal="center" vertical="center" wrapText="1"/>
    </xf>
    <xf numFmtId="165" fontId="9" fillId="0" borderId="69" xfId="83" applyFont="1" applyFill="1" applyBorder="1" applyAlignment="1">
      <alignment horizontal="center" vertical="center" wrapText="1"/>
    </xf>
    <xf numFmtId="0" fontId="9" fillId="37" borderId="52" xfId="56" applyFont="1" applyFill="1" applyBorder="1" applyAlignment="1">
      <alignment horizontal="left" vertical="center" wrapText="1"/>
      <protection/>
    </xf>
    <xf numFmtId="0" fontId="9" fillId="37" borderId="32" xfId="56" applyFont="1" applyFill="1" applyBorder="1" applyAlignment="1">
      <alignment horizontal="left" vertical="center" wrapText="1"/>
      <protection/>
    </xf>
    <xf numFmtId="43" fontId="9" fillId="37" borderId="52" xfId="56" applyNumberFormat="1" applyFont="1" applyFill="1" applyBorder="1" applyAlignment="1">
      <alignment horizontal="center" vertical="center" wrapText="1"/>
      <protection/>
    </xf>
    <xf numFmtId="0" fontId="9" fillId="37" borderId="59" xfId="56" applyFont="1" applyFill="1" applyBorder="1" applyAlignment="1">
      <alignment horizontal="center" vertical="center" wrapText="1"/>
      <protection/>
    </xf>
    <xf numFmtId="0" fontId="0" fillId="0" borderId="42" xfId="56" applyFont="1" applyFill="1" applyBorder="1" applyAlignment="1">
      <alignment horizontal="left" vertical="center" wrapText="1"/>
      <protection/>
    </xf>
    <xf numFmtId="0" fontId="0" fillId="0" borderId="45" xfId="56" applyFont="1" applyFill="1" applyBorder="1" applyAlignment="1">
      <alignment horizontal="left" vertical="center" wrapText="1"/>
      <protection/>
    </xf>
    <xf numFmtId="0" fontId="0" fillId="0" borderId="69" xfId="56" applyFont="1" applyFill="1" applyBorder="1" applyAlignment="1">
      <alignment horizontal="left" vertical="center" wrapText="1"/>
      <protection/>
    </xf>
    <xf numFmtId="165" fontId="0" fillId="0" borderId="42" xfId="83" applyFont="1" applyFill="1" applyBorder="1" applyAlignment="1">
      <alignment horizontal="center" vertical="center" wrapText="1"/>
    </xf>
    <xf numFmtId="165" fontId="0" fillId="0" borderId="69" xfId="83" applyFont="1" applyFill="1" applyBorder="1" applyAlignment="1">
      <alignment horizontal="center" vertical="center" wrapText="1"/>
    </xf>
    <xf numFmtId="4" fontId="9" fillId="37" borderId="52" xfId="56" applyNumberFormat="1" applyFont="1" applyFill="1" applyBorder="1" applyAlignment="1">
      <alignment horizontal="center" vertical="center" wrapText="1"/>
      <protection/>
    </xf>
    <xf numFmtId="4" fontId="9" fillId="37" borderId="59" xfId="56" applyNumberFormat="1" applyFont="1" applyFill="1" applyBorder="1" applyAlignment="1">
      <alignment horizontal="center" vertical="center" wrapText="1"/>
      <protection/>
    </xf>
    <xf numFmtId="4" fontId="9" fillId="37" borderId="60" xfId="56" applyNumberFormat="1" applyFont="1" applyFill="1" applyBorder="1" applyAlignment="1">
      <alignment horizontal="center" vertical="center" wrapText="1"/>
      <protection/>
    </xf>
    <xf numFmtId="4" fontId="9" fillId="37" borderId="61" xfId="56" applyNumberFormat="1" applyFont="1" applyFill="1" applyBorder="1" applyAlignment="1">
      <alignment horizontal="center" vertical="center" wrapText="1"/>
      <protection/>
    </xf>
    <xf numFmtId="0" fontId="9" fillId="37" borderId="42" xfId="0" applyFont="1" applyFill="1" applyBorder="1" applyAlignment="1">
      <alignment horizontal="center" vertical="center"/>
    </xf>
    <xf numFmtId="0" fontId="9" fillId="37" borderId="45" xfId="0" applyFont="1" applyFill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horizontal="center" vertical="center" wrapText="1"/>
    </xf>
    <xf numFmtId="0" fontId="9" fillId="37" borderId="69" xfId="0" applyFont="1" applyFill="1" applyBorder="1" applyAlignment="1">
      <alignment horizontal="center" vertical="center" wrapText="1"/>
    </xf>
    <xf numFmtId="0" fontId="0" fillId="38" borderId="42" xfId="52" applyFont="1" applyFill="1" applyBorder="1" applyAlignment="1">
      <alignment horizontal="left" vertical="center" wrapText="1"/>
      <protection/>
    </xf>
    <xf numFmtId="0" fontId="0" fillId="38" borderId="45" xfId="52" applyFont="1" applyFill="1" applyBorder="1" applyAlignment="1">
      <alignment horizontal="left" vertical="center" wrapText="1"/>
      <protection/>
    </xf>
    <xf numFmtId="0" fontId="0" fillId="38" borderId="69" xfId="52" applyFont="1" applyFill="1" applyBorder="1" applyAlignment="1">
      <alignment horizontal="left" vertical="center" wrapText="1"/>
      <protection/>
    </xf>
    <xf numFmtId="0" fontId="9" fillId="37" borderId="38" xfId="52" applyFont="1" applyFill="1" applyBorder="1" applyAlignment="1">
      <alignment horizontal="left" vertical="center" wrapText="1"/>
      <protection/>
    </xf>
    <xf numFmtId="0" fontId="9" fillId="37" borderId="52" xfId="56" applyFont="1" applyFill="1" applyBorder="1" applyAlignment="1">
      <alignment horizontal="center" vertical="center" wrapText="1"/>
      <protection/>
    </xf>
    <xf numFmtId="0" fontId="9" fillId="37" borderId="32" xfId="56" applyFont="1" applyFill="1" applyBorder="1" applyAlignment="1">
      <alignment horizontal="center" vertical="center" wrapText="1"/>
      <protection/>
    </xf>
    <xf numFmtId="0" fontId="9" fillId="37" borderId="60" xfId="56" applyFont="1" applyFill="1" applyBorder="1" applyAlignment="1">
      <alignment horizontal="center" vertical="center" wrapText="1"/>
      <protection/>
    </xf>
    <xf numFmtId="0" fontId="9" fillId="37" borderId="30" xfId="56" applyFont="1" applyFill="1" applyBorder="1" applyAlignment="1">
      <alignment horizontal="center" vertical="center" wrapText="1"/>
      <protection/>
    </xf>
    <xf numFmtId="0" fontId="9" fillId="37" borderId="61" xfId="56" applyFont="1" applyFill="1" applyBorder="1" applyAlignment="1">
      <alignment horizontal="center" vertical="center" wrapText="1"/>
      <protection/>
    </xf>
    <xf numFmtId="4" fontId="9" fillId="37" borderId="38" xfId="56" applyNumberFormat="1" applyFont="1" applyFill="1" applyBorder="1" applyAlignment="1">
      <alignment horizontal="center" vertical="center" wrapText="1"/>
      <protection/>
    </xf>
    <xf numFmtId="49" fontId="0" fillId="33" borderId="42" xfId="56" applyNumberFormat="1" applyFont="1" applyFill="1" applyBorder="1" applyAlignment="1">
      <alignment horizontal="left" vertical="center" wrapText="1"/>
      <protection/>
    </xf>
    <xf numFmtId="49" fontId="0" fillId="33" borderId="69" xfId="56" applyNumberFormat="1" applyFont="1" applyFill="1" applyBorder="1" applyAlignment="1">
      <alignment horizontal="left" vertical="center" wrapText="1"/>
      <protection/>
    </xf>
    <xf numFmtId="49" fontId="9" fillId="37" borderId="42" xfId="56" applyNumberFormat="1" applyFont="1" applyFill="1" applyBorder="1" applyAlignment="1">
      <alignment horizontal="left" vertical="center" wrapText="1"/>
      <protection/>
    </xf>
    <xf numFmtId="49" fontId="9" fillId="37" borderId="45" xfId="56" applyNumberFormat="1" applyFont="1" applyFill="1" applyBorder="1" applyAlignment="1">
      <alignment horizontal="left" vertical="center" wrapText="1"/>
      <protection/>
    </xf>
    <xf numFmtId="49" fontId="9" fillId="37" borderId="69" xfId="56" applyNumberFormat="1" applyFont="1" applyFill="1" applyBorder="1" applyAlignment="1">
      <alignment horizontal="left" vertical="center" wrapText="1"/>
      <protection/>
    </xf>
    <xf numFmtId="49" fontId="3" fillId="33" borderId="42" xfId="56" applyNumberFormat="1" applyFont="1" applyFill="1" applyBorder="1" applyAlignment="1">
      <alignment horizontal="center" vertical="center" wrapText="1"/>
      <protection/>
    </xf>
    <xf numFmtId="49" fontId="3" fillId="33" borderId="45" xfId="56" applyNumberFormat="1" applyFont="1" applyFill="1" applyBorder="1" applyAlignment="1">
      <alignment horizontal="center" vertical="center" wrapText="1"/>
      <protection/>
    </xf>
    <xf numFmtId="49" fontId="3" fillId="33" borderId="69" xfId="56" applyNumberFormat="1" applyFont="1" applyFill="1" applyBorder="1" applyAlignment="1">
      <alignment horizontal="center" vertical="center" wrapText="1"/>
      <protection/>
    </xf>
    <xf numFmtId="49" fontId="9" fillId="33" borderId="52" xfId="56" applyNumberFormat="1" applyFont="1" applyFill="1" applyBorder="1" applyAlignment="1">
      <alignment horizontal="center" vertical="center" wrapText="1"/>
      <protection/>
    </xf>
    <xf numFmtId="49" fontId="9" fillId="33" borderId="32" xfId="56" applyNumberFormat="1" applyFont="1" applyFill="1" applyBorder="1" applyAlignment="1">
      <alignment horizontal="center" vertical="center" wrapText="1"/>
      <protection/>
    </xf>
    <xf numFmtId="49" fontId="9" fillId="33" borderId="59" xfId="56" applyNumberFormat="1" applyFont="1" applyFill="1" applyBorder="1" applyAlignment="1">
      <alignment horizontal="center" vertical="center" wrapText="1"/>
      <protection/>
    </xf>
    <xf numFmtId="49" fontId="9" fillId="33" borderId="58" xfId="56" applyNumberFormat="1" applyFont="1" applyFill="1" applyBorder="1" applyAlignment="1">
      <alignment horizontal="center" vertical="center" wrapText="1"/>
      <protection/>
    </xf>
    <xf numFmtId="49" fontId="9" fillId="33" borderId="0" xfId="56" applyNumberFormat="1" applyFont="1" applyFill="1" applyBorder="1" applyAlignment="1">
      <alignment horizontal="center" vertical="center" wrapText="1"/>
      <protection/>
    </xf>
    <xf numFmtId="49" fontId="9" fillId="37" borderId="42" xfId="56" applyNumberFormat="1" applyFont="1" applyFill="1" applyBorder="1" applyAlignment="1">
      <alignment horizontal="center" vertical="center" wrapText="1"/>
      <protection/>
    </xf>
    <xf numFmtId="49" fontId="9" fillId="37" borderId="45" xfId="56" applyNumberFormat="1" applyFont="1" applyFill="1" applyBorder="1" applyAlignment="1">
      <alignment horizontal="center" vertical="center" wrapText="1"/>
      <protection/>
    </xf>
    <xf numFmtId="49" fontId="9" fillId="37" borderId="69" xfId="56" applyNumberFormat="1" applyFont="1" applyFill="1" applyBorder="1" applyAlignment="1">
      <alignment horizontal="center" vertical="center" wrapText="1"/>
      <protection/>
    </xf>
    <xf numFmtId="49" fontId="9" fillId="37" borderId="21" xfId="56" applyNumberFormat="1" applyFont="1" applyFill="1" applyBorder="1" applyAlignment="1">
      <alignment horizontal="center" vertical="center" wrapText="1"/>
      <protection/>
    </xf>
    <xf numFmtId="49" fontId="9" fillId="37" borderId="20" xfId="56" applyNumberFormat="1" applyFont="1" applyFill="1" applyBorder="1" applyAlignment="1">
      <alignment horizontal="center" vertical="center" wrapText="1"/>
      <protection/>
    </xf>
    <xf numFmtId="0" fontId="9" fillId="37" borderId="21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49" fontId="0" fillId="33" borderId="42" xfId="56" applyNumberFormat="1" applyFont="1" applyFill="1" applyBorder="1" applyAlignment="1">
      <alignment horizontal="center" vertical="center" wrapText="1"/>
      <protection/>
    </xf>
    <xf numFmtId="49" fontId="0" fillId="33" borderId="45" xfId="56" applyNumberFormat="1" applyFont="1" applyFill="1" applyBorder="1" applyAlignment="1">
      <alignment horizontal="center" vertical="center" wrapText="1"/>
      <protection/>
    </xf>
    <xf numFmtId="49" fontId="0" fillId="33" borderId="69" xfId="56" applyNumberFormat="1" applyFont="1" applyFill="1" applyBorder="1" applyAlignment="1">
      <alignment horizontal="center" vertical="center" wrapText="1"/>
      <protection/>
    </xf>
    <xf numFmtId="49" fontId="9" fillId="33" borderId="38" xfId="56" applyNumberFormat="1" applyFont="1" applyFill="1" applyBorder="1" applyAlignment="1">
      <alignment horizontal="center" vertical="center" wrapText="1"/>
      <protection/>
    </xf>
    <xf numFmtId="49" fontId="0" fillId="33" borderId="45" xfId="56" applyNumberFormat="1" applyFont="1" applyFill="1" applyBorder="1" applyAlignment="1">
      <alignment horizontal="left" vertical="center" wrapText="1"/>
      <protection/>
    </xf>
    <xf numFmtId="165" fontId="0" fillId="33" borderId="42" xfId="83" applyFill="1" applyBorder="1" applyAlignment="1">
      <alignment horizontal="center" vertical="center" wrapText="1"/>
    </xf>
    <xf numFmtId="165" fontId="0" fillId="33" borderId="69" xfId="83" applyFill="1" applyBorder="1" applyAlignment="1">
      <alignment horizontal="center" vertical="center" wrapText="1"/>
    </xf>
    <xf numFmtId="49" fontId="0" fillId="37" borderId="42" xfId="56" applyNumberFormat="1" applyFont="1" applyFill="1" applyBorder="1" applyAlignment="1">
      <alignment horizontal="center" vertical="center" wrapText="1"/>
      <protection/>
    </xf>
    <xf numFmtId="49" fontId="0" fillId="37" borderId="69" xfId="56" applyNumberFormat="1" applyFont="1" applyFill="1" applyBorder="1" applyAlignment="1">
      <alignment horizontal="center" vertical="center" wrapText="1"/>
      <protection/>
    </xf>
    <xf numFmtId="4" fontId="9" fillId="37" borderId="38" xfId="56" applyNumberFormat="1" applyFont="1" applyFill="1" applyBorder="1" applyAlignment="1">
      <alignment horizontal="center" vertical="center"/>
      <protection/>
    </xf>
    <xf numFmtId="49" fontId="9" fillId="37" borderId="52" xfId="56" applyNumberFormat="1" applyFont="1" applyFill="1" applyBorder="1" applyAlignment="1">
      <alignment horizontal="center" vertical="center" wrapText="1"/>
      <protection/>
    </xf>
    <xf numFmtId="49" fontId="9" fillId="37" borderId="32" xfId="56" applyNumberFormat="1" applyFont="1" applyFill="1" applyBorder="1" applyAlignment="1">
      <alignment horizontal="center" vertical="center" wrapText="1"/>
      <protection/>
    </xf>
    <xf numFmtId="49" fontId="9" fillId="37" borderId="59" xfId="56" applyNumberFormat="1" applyFont="1" applyFill="1" applyBorder="1" applyAlignment="1">
      <alignment horizontal="center" vertical="center" wrapText="1"/>
      <protection/>
    </xf>
    <xf numFmtId="49" fontId="9" fillId="37" borderId="58" xfId="56" applyNumberFormat="1" applyFont="1" applyFill="1" applyBorder="1" applyAlignment="1">
      <alignment horizontal="center" vertical="center" wrapText="1"/>
      <protection/>
    </xf>
    <xf numFmtId="49" fontId="9" fillId="37" borderId="0" xfId="56" applyNumberFormat="1" applyFont="1" applyFill="1" applyBorder="1" applyAlignment="1">
      <alignment horizontal="center" vertical="center" wrapText="1"/>
      <protection/>
    </xf>
    <xf numFmtId="49" fontId="9" fillId="37" borderId="22" xfId="56" applyNumberFormat="1" applyFont="1" applyFill="1" applyBorder="1" applyAlignment="1">
      <alignment horizontal="center" vertical="center" wrapText="1"/>
      <protection/>
    </xf>
    <xf numFmtId="49" fontId="9" fillId="37" borderId="60" xfId="56" applyNumberFormat="1" applyFont="1" applyFill="1" applyBorder="1" applyAlignment="1">
      <alignment horizontal="center" vertical="center" wrapText="1"/>
      <protection/>
    </xf>
    <xf numFmtId="49" fontId="9" fillId="37" borderId="30" xfId="56" applyNumberFormat="1" applyFont="1" applyFill="1" applyBorder="1" applyAlignment="1">
      <alignment horizontal="center" vertical="center" wrapText="1"/>
      <protection/>
    </xf>
    <xf numFmtId="49" fontId="9" fillId="37" borderId="61" xfId="56" applyNumberFormat="1" applyFont="1" applyFill="1" applyBorder="1" applyAlignment="1">
      <alignment horizontal="center" vertical="center" wrapText="1"/>
      <protection/>
    </xf>
    <xf numFmtId="49" fontId="9" fillId="37" borderId="38" xfId="56" applyNumberFormat="1" applyFont="1" applyFill="1" applyBorder="1" applyAlignment="1">
      <alignment horizontal="center" vertical="center" wrapText="1"/>
      <protection/>
    </xf>
    <xf numFmtId="0" fontId="9" fillId="37" borderId="38" xfId="0" applyFont="1" applyFill="1" applyBorder="1" applyAlignment="1">
      <alignment horizontal="center" vertical="center" wrapText="1"/>
    </xf>
    <xf numFmtId="165" fontId="0" fillId="33" borderId="38" xfId="83" applyFill="1" applyBorder="1" applyAlignment="1">
      <alignment horizontal="center" vertical="center"/>
    </xf>
    <xf numFmtId="4" fontId="0" fillId="33" borderId="38" xfId="56" applyNumberFormat="1" applyFont="1" applyFill="1" applyBorder="1" applyAlignment="1">
      <alignment horizontal="right" vertical="center"/>
      <protection/>
    </xf>
    <xf numFmtId="165" fontId="0" fillId="33" borderId="42" xfId="83" applyFill="1" applyBorder="1" applyAlignment="1">
      <alignment horizontal="center" vertical="center"/>
    </xf>
    <xf numFmtId="165" fontId="0" fillId="33" borderId="45" xfId="83" applyFill="1" applyBorder="1" applyAlignment="1">
      <alignment horizontal="center" vertical="center"/>
    </xf>
    <xf numFmtId="165" fontId="0" fillId="33" borderId="69" xfId="83" applyFill="1" applyBorder="1" applyAlignment="1">
      <alignment horizontal="center" vertical="center"/>
    </xf>
    <xf numFmtId="4" fontId="9" fillId="37" borderId="42" xfId="56" applyNumberFormat="1" applyFont="1" applyFill="1" applyBorder="1" applyAlignment="1">
      <alignment horizontal="right" vertical="center"/>
      <protection/>
    </xf>
    <xf numFmtId="4" fontId="9" fillId="37" borderId="69" xfId="56" applyNumberFormat="1" applyFont="1" applyFill="1" applyBorder="1" applyAlignment="1">
      <alignment horizontal="right" vertical="center"/>
      <protection/>
    </xf>
    <xf numFmtId="0" fontId="9" fillId="37" borderId="59" xfId="56" applyFont="1" applyFill="1" applyBorder="1" applyAlignment="1">
      <alignment horizontal="left" vertical="center" wrapText="1"/>
      <protection/>
    </xf>
    <xf numFmtId="0" fontId="0" fillId="33" borderId="30" xfId="56" applyFont="1" applyFill="1" applyBorder="1" applyAlignment="1">
      <alignment horizontal="center" vertical="center" wrapText="1"/>
      <protection/>
    </xf>
    <xf numFmtId="0" fontId="9" fillId="37" borderId="60" xfId="56" applyFont="1" applyFill="1" applyBorder="1" applyAlignment="1">
      <alignment horizontal="center" vertical="center"/>
      <protection/>
    </xf>
    <xf numFmtId="0" fontId="9" fillId="37" borderId="30" xfId="56" applyFont="1" applyFill="1" applyBorder="1" applyAlignment="1">
      <alignment horizontal="center" vertical="center"/>
      <protection/>
    </xf>
    <xf numFmtId="0" fontId="9" fillId="37" borderId="61" xfId="56" applyFont="1" applyFill="1" applyBorder="1" applyAlignment="1">
      <alignment horizontal="center" vertical="center"/>
      <protection/>
    </xf>
    <xf numFmtId="0" fontId="9" fillId="37" borderId="60" xfId="0" applyFont="1" applyFill="1" applyBorder="1" applyAlignment="1">
      <alignment horizontal="center" vertical="center" wrapText="1"/>
    </xf>
    <xf numFmtId="0" fontId="9" fillId="37" borderId="61" xfId="0" applyFont="1" applyFill="1" applyBorder="1" applyAlignment="1">
      <alignment horizontal="center" vertical="center" wrapText="1"/>
    </xf>
    <xf numFmtId="4" fontId="7" fillId="37" borderId="21" xfId="56" applyNumberFormat="1" applyFont="1" applyFill="1" applyBorder="1" applyAlignment="1">
      <alignment horizontal="center" vertical="center" wrapText="1"/>
      <protection/>
    </xf>
    <xf numFmtId="4" fontId="7" fillId="37" borderId="23" xfId="56" applyNumberFormat="1" applyFont="1" applyFill="1" applyBorder="1" applyAlignment="1">
      <alignment horizontal="center" vertical="center" wrapText="1"/>
      <protection/>
    </xf>
    <xf numFmtId="0" fontId="9" fillId="37" borderId="60" xfId="56" applyFont="1" applyFill="1" applyBorder="1" applyAlignment="1">
      <alignment horizontal="left" vertical="center" wrapText="1"/>
      <protection/>
    </xf>
    <xf numFmtId="0" fontId="9" fillId="37" borderId="30" xfId="56" applyFont="1" applyFill="1" applyBorder="1" applyAlignment="1">
      <alignment horizontal="left" vertical="center" wrapText="1"/>
      <protection/>
    </xf>
    <xf numFmtId="0" fontId="9" fillId="37" borderId="61" xfId="56" applyFont="1" applyFill="1" applyBorder="1" applyAlignment="1">
      <alignment horizontal="left" vertical="center" wrapText="1"/>
      <protection/>
    </xf>
    <xf numFmtId="10" fontId="9" fillId="37" borderId="42" xfId="59" applyNumberFormat="1" applyFont="1" applyFill="1" applyBorder="1" applyAlignment="1">
      <alignment horizontal="center" vertical="center"/>
    </xf>
    <xf numFmtId="10" fontId="9" fillId="37" borderId="69" xfId="59" applyNumberFormat="1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/>
    </xf>
    <xf numFmtId="4" fontId="9" fillId="37" borderId="45" xfId="56" applyNumberFormat="1" applyFont="1" applyFill="1" applyBorder="1" applyAlignment="1">
      <alignment horizontal="right" vertical="center"/>
      <protection/>
    </xf>
    <xf numFmtId="2" fontId="9" fillId="37" borderId="42" xfId="0" applyNumberFormat="1" applyFont="1" applyFill="1" applyBorder="1" applyAlignment="1">
      <alignment horizontal="right" vertical="center"/>
    </xf>
    <xf numFmtId="2" fontId="9" fillId="37" borderId="69" xfId="0" applyNumberFormat="1" applyFont="1" applyFill="1" applyBorder="1" applyAlignment="1">
      <alignment horizontal="right" vertical="center"/>
    </xf>
    <xf numFmtId="0" fontId="9" fillId="0" borderId="30" xfId="56" applyFont="1" applyFill="1" applyBorder="1" applyAlignment="1">
      <alignment horizontal="center" vertical="center" wrapText="1"/>
      <protection/>
    </xf>
    <xf numFmtId="0" fontId="9" fillId="0" borderId="61" xfId="56" applyFont="1" applyFill="1" applyBorder="1" applyAlignment="1">
      <alignment horizontal="center" vertical="center" wrapText="1"/>
      <protection/>
    </xf>
    <xf numFmtId="0" fontId="7" fillId="37" borderId="21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4" fontId="9" fillId="37" borderId="21" xfId="56" applyNumberFormat="1" applyFont="1" applyFill="1" applyBorder="1" applyAlignment="1">
      <alignment horizontal="center" vertical="center"/>
      <protection/>
    </xf>
    <xf numFmtId="4" fontId="9" fillId="37" borderId="23" xfId="56" applyNumberFormat="1" applyFont="1" applyFill="1" applyBorder="1" applyAlignment="1">
      <alignment horizontal="center" vertical="center"/>
      <protection/>
    </xf>
    <xf numFmtId="0" fontId="0" fillId="0" borderId="42" xfId="56" applyFont="1" applyFill="1" applyBorder="1" applyAlignment="1">
      <alignment horizontal="left" vertical="center"/>
      <protection/>
    </xf>
    <xf numFmtId="0" fontId="0" fillId="0" borderId="45" xfId="56" applyFont="1" applyFill="1" applyBorder="1" applyAlignment="1">
      <alignment horizontal="left" vertical="center"/>
      <protection/>
    </xf>
    <xf numFmtId="0" fontId="0" fillId="0" borderId="69" xfId="56" applyFont="1" applyFill="1" applyBorder="1" applyAlignment="1">
      <alignment horizontal="left" vertical="center"/>
      <protection/>
    </xf>
    <xf numFmtId="4" fontId="0" fillId="0" borderId="42" xfId="56" applyNumberFormat="1" applyFont="1" applyFill="1" applyBorder="1" applyAlignment="1">
      <alignment horizontal="right" vertical="center"/>
      <protection/>
    </xf>
    <xf numFmtId="4" fontId="0" fillId="0" borderId="69" xfId="56" applyNumberFormat="1" applyFont="1" applyFill="1" applyBorder="1" applyAlignment="1">
      <alignment horizontal="right" vertical="center"/>
      <protection/>
    </xf>
    <xf numFmtId="4" fontId="0" fillId="0" borderId="45" xfId="56" applyNumberFormat="1" applyFont="1" applyFill="1" applyBorder="1" applyAlignment="1">
      <alignment horizontal="right" vertical="center"/>
      <protection/>
    </xf>
    <xf numFmtId="2" fontId="9" fillId="0" borderId="42" xfId="0" applyNumberFormat="1" applyFont="1" applyBorder="1" applyAlignment="1">
      <alignment horizontal="right" vertical="center"/>
    </xf>
    <xf numFmtId="2" fontId="9" fillId="0" borderId="69" xfId="0" applyNumberFormat="1" applyFont="1" applyBorder="1" applyAlignment="1">
      <alignment horizontal="right" vertical="center"/>
    </xf>
    <xf numFmtId="0" fontId="0" fillId="0" borderId="42" xfId="56" applyFont="1" applyFill="1" applyBorder="1" applyAlignment="1">
      <alignment horizontal="left" vertical="center"/>
      <protection/>
    </xf>
    <xf numFmtId="0" fontId="0" fillId="0" borderId="42" xfId="56" applyFont="1" applyFill="1" applyBorder="1" applyAlignment="1">
      <alignment horizontal="center" vertical="center"/>
      <protection/>
    </xf>
    <xf numFmtId="0" fontId="0" fillId="0" borderId="45" xfId="56" applyFont="1" applyFill="1" applyBorder="1" applyAlignment="1">
      <alignment horizontal="center" vertical="center"/>
      <protection/>
    </xf>
    <xf numFmtId="0" fontId="0" fillId="0" borderId="69" xfId="56" applyFont="1" applyFill="1" applyBorder="1" applyAlignment="1">
      <alignment horizontal="center" vertical="center"/>
      <protection/>
    </xf>
    <xf numFmtId="4" fontId="9" fillId="0" borderId="42" xfId="56" applyNumberFormat="1" applyFont="1" applyFill="1" applyBorder="1" applyAlignment="1">
      <alignment horizontal="right" vertical="center"/>
      <protection/>
    </xf>
    <xf numFmtId="4" fontId="9" fillId="0" borderId="69" xfId="56" applyNumberFormat="1" applyFont="1" applyFill="1" applyBorder="1" applyAlignment="1">
      <alignment horizontal="right" vertical="center"/>
      <protection/>
    </xf>
    <xf numFmtId="4" fontId="9" fillId="0" borderId="45" xfId="56" applyNumberFormat="1" applyFont="1" applyFill="1" applyBorder="1" applyAlignment="1">
      <alignment horizontal="right" vertical="center"/>
      <protection/>
    </xf>
    <xf numFmtId="0" fontId="9" fillId="37" borderId="38" xfId="56" applyFont="1" applyFill="1" applyBorder="1" applyAlignment="1">
      <alignment horizontal="center" vertical="center"/>
      <protection/>
    </xf>
    <xf numFmtId="0" fontId="0" fillId="37" borderId="38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3" fillId="0" borderId="0" xfId="56" applyFont="1" applyFill="1" applyAlignment="1">
      <alignment horizontal="left" indent="7"/>
      <protection/>
    </xf>
    <xf numFmtId="0" fontId="3" fillId="0" borderId="0" xfId="50" applyFont="1" applyFill="1" applyBorder="1" applyAlignment="1">
      <alignment horizontal="left" indent="7"/>
      <protection/>
    </xf>
    <xf numFmtId="0" fontId="9" fillId="37" borderId="58" xfId="56" applyFont="1" applyFill="1" applyBorder="1" applyAlignment="1">
      <alignment horizontal="center" vertical="center" wrapText="1"/>
      <protection/>
    </xf>
    <xf numFmtId="0" fontId="9" fillId="37" borderId="0" xfId="56" applyFont="1" applyFill="1" applyBorder="1" applyAlignment="1">
      <alignment horizontal="center" vertical="center" wrapText="1"/>
      <protection/>
    </xf>
    <xf numFmtId="0" fontId="9" fillId="37" borderId="22" xfId="56" applyFont="1" applyFill="1" applyBorder="1" applyAlignment="1">
      <alignment horizontal="center" vertical="center" wrapText="1"/>
      <protection/>
    </xf>
    <xf numFmtId="165" fontId="3" fillId="0" borderId="58" xfId="54" applyNumberFormat="1" applyFont="1" applyFill="1" applyBorder="1" applyAlignment="1">
      <alignment horizontal="center" vertical="center"/>
      <protection/>
    </xf>
    <xf numFmtId="165" fontId="3" fillId="0" borderId="0" xfId="54" applyNumberFormat="1" applyFont="1" applyFill="1" applyBorder="1" applyAlignment="1">
      <alignment horizontal="center" vertical="center"/>
      <protection/>
    </xf>
    <xf numFmtId="165" fontId="3" fillId="0" borderId="22" xfId="54" applyNumberFormat="1" applyFont="1" applyFill="1" applyBorder="1" applyAlignment="1">
      <alignment horizontal="center" vertical="center"/>
      <protection/>
    </xf>
    <xf numFmtId="3" fontId="4" fillId="0" borderId="64" xfId="54" applyNumberFormat="1" applyFont="1" applyFill="1" applyBorder="1" applyAlignment="1">
      <alignment horizontal="center" vertical="center"/>
      <protection/>
    </xf>
    <xf numFmtId="3" fontId="4" fillId="0" borderId="53" xfId="54" applyNumberFormat="1" applyFont="1" applyFill="1" applyBorder="1" applyAlignment="1">
      <alignment horizontal="center" vertical="center"/>
      <protection/>
    </xf>
    <xf numFmtId="165" fontId="3" fillId="0" borderId="58" xfId="54" applyNumberFormat="1" applyFont="1" applyBorder="1" applyAlignment="1">
      <alignment horizontal="center" vertical="center"/>
      <protection/>
    </xf>
    <xf numFmtId="165" fontId="3" fillId="0" borderId="0" xfId="54" applyNumberFormat="1" applyFont="1" applyBorder="1" applyAlignment="1">
      <alignment horizontal="center" vertical="center"/>
      <protection/>
    </xf>
    <xf numFmtId="165" fontId="3" fillId="0" borderId="22" xfId="54" applyNumberFormat="1" applyFont="1" applyBorder="1" applyAlignment="1">
      <alignment horizontal="center" vertical="center"/>
      <protection/>
    </xf>
    <xf numFmtId="0" fontId="3" fillId="0" borderId="79" xfId="54" applyFont="1" applyFill="1" applyBorder="1" applyAlignment="1">
      <alignment horizontal="left" vertical="center"/>
      <protection/>
    </xf>
    <xf numFmtId="0" fontId="3" fillId="0" borderId="72" xfId="54" applyFont="1" applyFill="1" applyBorder="1" applyAlignment="1">
      <alignment horizontal="left" vertical="center"/>
      <protection/>
    </xf>
    <xf numFmtId="3" fontId="17" fillId="0" borderId="80" xfId="54" applyNumberFormat="1" applyFont="1" applyFill="1" applyBorder="1" applyAlignment="1">
      <alignment horizontal="center" vertical="center" wrapText="1"/>
      <protection/>
    </xf>
    <xf numFmtId="3" fontId="4" fillId="0" borderId="13" xfId="54" applyNumberFormat="1" applyFont="1" applyFill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4" fillId="0" borderId="36" xfId="54" applyNumberFormat="1" applyFont="1" applyFill="1" applyBorder="1" applyAlignment="1">
      <alignment horizontal="center" vertical="center" wrapText="1"/>
      <protection/>
    </xf>
    <xf numFmtId="3" fontId="4" fillId="0" borderId="40" xfId="54" applyNumberFormat="1" applyFont="1" applyFill="1" applyBorder="1" applyAlignment="1">
      <alignment horizontal="center" vertical="center" wrapText="1"/>
      <protection/>
    </xf>
    <xf numFmtId="165" fontId="3" fillId="0" borderId="52" xfId="54" applyNumberFormat="1" applyFont="1" applyBorder="1" applyAlignment="1">
      <alignment horizontal="center" vertical="center"/>
      <protection/>
    </xf>
    <xf numFmtId="165" fontId="3" fillId="0" borderId="32" xfId="54" applyNumberFormat="1" applyFont="1" applyBorder="1" applyAlignment="1">
      <alignment horizontal="center" vertical="center"/>
      <protection/>
    </xf>
    <xf numFmtId="165" fontId="3" fillId="0" borderId="59" xfId="54" applyNumberFormat="1" applyFont="1" applyBorder="1" applyAlignment="1">
      <alignment horizontal="center" vertical="center"/>
      <protection/>
    </xf>
    <xf numFmtId="0" fontId="3" fillId="0" borderId="60" xfId="54" applyFont="1" applyFill="1" applyBorder="1" applyAlignment="1">
      <alignment horizontal="left" vertical="center"/>
      <protection/>
    </xf>
    <xf numFmtId="0" fontId="3" fillId="0" borderId="30" xfId="54" applyFont="1" applyFill="1" applyBorder="1" applyAlignment="1">
      <alignment horizontal="left" vertical="center"/>
      <protection/>
    </xf>
    <xf numFmtId="165" fontId="3" fillId="0" borderId="60" xfId="54" applyNumberFormat="1" applyFont="1" applyBorder="1" applyAlignment="1">
      <alignment horizontal="center" vertical="center"/>
      <protection/>
    </xf>
    <xf numFmtId="165" fontId="3" fillId="0" borderId="30" xfId="54" applyNumberFormat="1" applyFont="1" applyBorder="1" applyAlignment="1">
      <alignment horizontal="center" vertical="center"/>
      <protection/>
    </xf>
    <xf numFmtId="165" fontId="3" fillId="0" borderId="61" xfId="54" applyNumberFormat="1" applyFont="1" applyBorder="1" applyAlignment="1">
      <alignment horizontal="center" vertical="center"/>
      <protection/>
    </xf>
    <xf numFmtId="0" fontId="3" fillId="0" borderId="58" xfId="54" applyFont="1" applyFill="1" applyBorder="1" applyAlignment="1">
      <alignment horizontal="left" vertical="center"/>
      <protection/>
    </xf>
    <xf numFmtId="0" fontId="3" fillId="0" borderId="22" xfId="54" applyFont="1" applyFill="1" applyBorder="1" applyAlignment="1">
      <alignment horizontal="left" vertical="center"/>
      <protection/>
    </xf>
    <xf numFmtId="165" fontId="3" fillId="0" borderId="60" xfId="54" applyNumberFormat="1" applyFont="1" applyFill="1" applyBorder="1" applyAlignment="1">
      <alignment horizontal="center" vertical="center"/>
      <protection/>
    </xf>
    <xf numFmtId="165" fontId="3" fillId="0" borderId="30" xfId="54" applyNumberFormat="1" applyFont="1" applyFill="1" applyBorder="1" applyAlignment="1">
      <alignment horizontal="center" vertical="center"/>
      <protection/>
    </xf>
    <xf numFmtId="165" fontId="3" fillId="0" borderId="61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/>
      <protection/>
    </xf>
    <xf numFmtId="165" fontId="3" fillId="0" borderId="52" xfId="54" applyNumberFormat="1" applyFont="1" applyFill="1" applyBorder="1" applyAlignment="1">
      <alignment horizontal="center" vertical="center"/>
      <protection/>
    </xf>
    <xf numFmtId="165" fontId="3" fillId="0" borderId="32" xfId="54" applyNumberFormat="1" applyFont="1" applyFill="1" applyBorder="1" applyAlignment="1">
      <alignment horizontal="center" vertical="center"/>
      <protection/>
    </xf>
    <xf numFmtId="165" fontId="3" fillId="0" borderId="59" xfId="54" applyNumberFormat="1" applyFont="1" applyFill="1" applyBorder="1" applyAlignment="1">
      <alignment horizontal="center" vertical="center"/>
      <protection/>
    </xf>
    <xf numFmtId="0" fontId="3" fillId="0" borderId="52" xfId="54" applyFont="1" applyFill="1" applyBorder="1" applyAlignment="1">
      <alignment horizontal="left" vertical="center"/>
      <protection/>
    </xf>
    <xf numFmtId="0" fontId="3" fillId="0" borderId="32" xfId="54" applyFont="1" applyFill="1" applyBorder="1" applyAlignment="1">
      <alignment horizontal="left" vertical="center"/>
      <protection/>
    </xf>
    <xf numFmtId="0" fontId="3" fillId="0" borderId="58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52" xfId="54" applyFont="1" applyFill="1" applyBorder="1" applyAlignment="1">
      <alignment horizontal="center" vertical="center"/>
      <protection/>
    </xf>
    <xf numFmtId="0" fontId="4" fillId="0" borderId="59" xfId="54" applyFont="1" applyFill="1" applyBorder="1" applyAlignment="1">
      <alignment horizontal="center" vertical="center"/>
      <protection/>
    </xf>
    <xf numFmtId="0" fontId="4" fillId="0" borderId="60" xfId="54" applyFont="1" applyFill="1" applyBorder="1" applyAlignment="1">
      <alignment horizontal="center" vertical="center"/>
      <protection/>
    </xf>
    <xf numFmtId="0" fontId="4" fillId="0" borderId="61" xfId="54" applyFont="1" applyFill="1" applyBorder="1" applyAlignment="1">
      <alignment horizontal="center" vertical="center"/>
      <protection/>
    </xf>
    <xf numFmtId="166" fontId="4" fillId="0" borderId="38" xfId="54" applyNumberFormat="1" applyFont="1" applyFill="1" applyBorder="1" applyAlignment="1">
      <alignment horizontal="center" vertical="center" wrapText="1"/>
      <protection/>
    </xf>
    <xf numFmtId="0" fontId="4" fillId="0" borderId="42" xfId="54" applyFont="1" applyFill="1" applyBorder="1" applyAlignment="1">
      <alignment horizontal="center" vertical="center"/>
      <protection/>
    </xf>
    <xf numFmtId="0" fontId="4" fillId="0" borderId="45" xfId="54" applyFont="1" applyFill="1" applyBorder="1" applyAlignment="1">
      <alignment horizontal="center" vertical="center"/>
      <protection/>
    </xf>
    <xf numFmtId="0" fontId="4" fillId="0" borderId="69" xfId="54" applyFont="1" applyFill="1" applyBorder="1" applyAlignment="1">
      <alignment horizontal="center" vertical="center"/>
      <protection/>
    </xf>
    <xf numFmtId="0" fontId="4" fillId="0" borderId="52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59" xfId="54" applyFont="1" applyFill="1" applyBorder="1" applyAlignment="1">
      <alignment horizontal="center" vertical="center" wrapText="1"/>
      <protection/>
    </xf>
    <xf numFmtId="0" fontId="4" fillId="0" borderId="60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61" xfId="54" applyFont="1" applyFill="1" applyBorder="1" applyAlignment="1">
      <alignment horizontal="center" vertical="center" wrapText="1"/>
      <protection/>
    </xf>
    <xf numFmtId="3" fontId="3" fillId="0" borderId="79" xfId="54" applyNumberFormat="1" applyFont="1" applyFill="1" applyBorder="1" applyAlignment="1">
      <alignment horizontal="center" vertical="center"/>
      <protection/>
    </xf>
    <xf numFmtId="3" fontId="3" fillId="0" borderId="41" xfId="54" applyNumberFormat="1" applyFont="1" applyFill="1" applyBorder="1" applyAlignment="1">
      <alignment horizontal="center" vertical="center"/>
      <protection/>
    </xf>
    <xf numFmtId="3" fontId="3" fillId="0" borderId="72" xfId="54" applyNumberFormat="1" applyFont="1" applyFill="1" applyBorder="1" applyAlignment="1">
      <alignment horizontal="center" vertical="center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2" fontId="3" fillId="0" borderId="34" xfId="83" applyNumberFormat="1" applyFont="1" applyFill="1" applyBorder="1" applyAlignment="1" applyProtection="1">
      <alignment horizontal="right" vertical="center"/>
      <protection/>
    </xf>
    <xf numFmtId="2" fontId="3" fillId="0" borderId="57" xfId="83" applyNumberFormat="1" applyFont="1" applyFill="1" applyBorder="1" applyAlignment="1" applyProtection="1">
      <alignment horizontal="right" vertical="center"/>
      <protection/>
    </xf>
    <xf numFmtId="2" fontId="3" fillId="0" borderId="0" xfId="83" applyNumberFormat="1" applyFont="1" applyFill="1" applyBorder="1" applyAlignment="1" applyProtection="1">
      <alignment horizontal="right" vertical="center"/>
      <protection/>
    </xf>
    <xf numFmtId="2" fontId="3" fillId="0" borderId="22" xfId="83" applyNumberFormat="1" applyFont="1" applyFill="1" applyBorder="1" applyAlignment="1" applyProtection="1">
      <alignment horizontal="right" vertical="center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165" fontId="3" fillId="0" borderId="60" xfId="83" applyFont="1" applyFill="1" applyBorder="1" applyAlignment="1" applyProtection="1">
      <alignment horizontal="center" vertical="center"/>
      <protection/>
    </xf>
    <xf numFmtId="165" fontId="3" fillId="0" borderId="61" xfId="83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165" fontId="3" fillId="0" borderId="15" xfId="83" applyFont="1" applyFill="1" applyBorder="1" applyAlignment="1">
      <alignment horizontal="center" vertical="center"/>
    </xf>
    <xf numFmtId="165" fontId="3" fillId="0" borderId="72" xfId="83" applyFont="1" applyFill="1" applyBorder="1" applyAlignment="1">
      <alignment horizontal="center" vertical="center"/>
    </xf>
    <xf numFmtId="165" fontId="3" fillId="0" borderId="14" xfId="83" applyFont="1" applyFill="1" applyBorder="1" applyAlignment="1">
      <alignment horizontal="center" vertical="center"/>
    </xf>
    <xf numFmtId="165" fontId="3" fillId="0" borderId="55" xfId="83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5" fontId="3" fillId="0" borderId="17" xfId="83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165" fontId="3" fillId="0" borderId="57" xfId="83" applyFont="1" applyFill="1" applyBorder="1" applyAlignment="1">
      <alignment horizontal="center" vertical="center"/>
    </xf>
    <xf numFmtId="2" fontId="3" fillId="0" borderId="60" xfId="83" applyNumberFormat="1" applyFont="1" applyFill="1" applyBorder="1" applyAlignment="1" applyProtection="1">
      <alignment horizontal="right" vertical="center"/>
      <protection/>
    </xf>
    <xf numFmtId="2" fontId="3" fillId="0" borderId="61" xfId="83" applyNumberFormat="1" applyFont="1" applyFill="1" applyBorder="1" applyAlignment="1" applyProtection="1">
      <alignment horizontal="right" vertical="center"/>
      <protection/>
    </xf>
    <xf numFmtId="4" fontId="3" fillId="0" borderId="5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3" fillId="0" borderId="61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165" fontId="3" fillId="0" borderId="14" xfId="83" applyFont="1" applyFill="1" applyBorder="1" applyAlignment="1" applyProtection="1">
      <alignment horizontal="center" vertical="center"/>
      <protection/>
    </xf>
    <xf numFmtId="165" fontId="3" fillId="0" borderId="36" xfId="83" applyFont="1" applyFill="1" applyBorder="1" applyAlignment="1" applyProtection="1">
      <alignment horizontal="center" vertical="center"/>
      <protection/>
    </xf>
    <xf numFmtId="0" fontId="3" fillId="0" borderId="7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77" xfId="0" applyNumberFormat="1" applyFont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165" fontId="3" fillId="0" borderId="25" xfId="83" applyNumberFormat="1" applyFont="1" applyFill="1" applyBorder="1" applyAlignment="1" applyProtection="1">
      <alignment horizontal="center" vertical="center"/>
      <protection/>
    </xf>
    <xf numFmtId="165" fontId="3" fillId="0" borderId="77" xfId="8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 indent="7"/>
    </xf>
    <xf numFmtId="0" fontId="4" fillId="0" borderId="0" xfId="0" applyFont="1" applyFill="1" applyBorder="1" applyAlignment="1">
      <alignment horizontal="left" vertical="center" wrapText="1" indent="7"/>
    </xf>
    <xf numFmtId="0" fontId="3" fillId="33" borderId="3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6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4" fontId="3" fillId="0" borderId="72" xfId="0" applyNumberFormat="1" applyFont="1" applyBorder="1" applyAlignment="1">
      <alignment horizontal="right" vertical="center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 2 3" xfId="52"/>
    <cellStyle name="Normal_LRF 6º BIMESTRE RREO 2008" xfId="53"/>
    <cellStyle name="Normal_LRF 6º BIMESTRE RREO 2008 2" xfId="54"/>
    <cellStyle name="Normal_LRF 6º BIMESTRE RREO 2009 2" xfId="55"/>
    <cellStyle name="Normal_SAUDE 3º BIM_2010" xfId="56"/>
    <cellStyle name="Nota" xfId="57"/>
    <cellStyle name="Percent" xfId="58"/>
    <cellStyle name="Porcentagem_SAUDE 3º BIM_2010" xfId="59"/>
    <cellStyle name="Saída" xfId="60"/>
    <cellStyle name="Comma [0]" xfId="61"/>
    <cellStyle name="Separador de milhares 2" xfId="62"/>
    <cellStyle name="Separador de milhares 2 2" xfId="63"/>
    <cellStyle name="Separador de milhares 2 2 2" xfId="64"/>
    <cellStyle name="Separador de milhares 2 2 2 2" xfId="65"/>
    <cellStyle name="Separador de milhares 3" xfId="66"/>
    <cellStyle name="Separador de milhares 3 2" xfId="67"/>
    <cellStyle name="Separador de milhares 3 2 2" xfId="68"/>
    <cellStyle name="Separador de milhares 4" xfId="69"/>
    <cellStyle name="Separador de milhares_LRF 6º BIMESTRE RREO 2008" xfId="70"/>
    <cellStyle name="Separador de milhares_LRF 6º BIMESTRE RREO 2008 2" xfId="71"/>
    <cellStyle name="Separador de milhares_LRF 6º BIMESTRE RREO 2009 2" xfId="72"/>
    <cellStyle name="Separador de milhares_LRF 6º BIMESTRE RREO 2010" xfId="73"/>
    <cellStyle name="Separador de milhares_SAUDE 3º BIM_2010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2" xfId="84"/>
    <cellStyle name="Vírgula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114300</xdr:rowOff>
    </xdr:from>
    <xdr:to>
      <xdr:col>0</xdr:col>
      <xdr:colOff>1066800</xdr:colOff>
      <xdr:row>5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480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98</xdr:row>
      <xdr:rowOff>66675</xdr:rowOff>
    </xdr:from>
    <xdr:to>
      <xdr:col>0</xdr:col>
      <xdr:colOff>381000</xdr:colOff>
      <xdr:row>99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04800" y="23841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1019175</xdr:colOff>
      <xdr:row>82</xdr:row>
      <xdr:rowOff>47625</xdr:rowOff>
    </xdr:from>
    <xdr:ext cx="2724150" cy="266700"/>
    <xdr:sp fLocksText="0">
      <xdr:nvSpPr>
        <xdr:cNvPr id="3" name="CaixaDeTexto 16"/>
        <xdr:cNvSpPr txBox="1">
          <a:spLocks noChangeArrowheads="1"/>
        </xdr:cNvSpPr>
      </xdr:nvSpPr>
      <xdr:spPr>
        <a:xfrm>
          <a:off x="1019175" y="20221575"/>
          <a:ext cx="2724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81</xdr:row>
      <xdr:rowOff>228600</xdr:rowOff>
    </xdr:from>
    <xdr:ext cx="2028825" cy="266700"/>
    <xdr:sp fLocksText="0">
      <xdr:nvSpPr>
        <xdr:cNvPr id="4" name="CaixaDeTexto 17"/>
        <xdr:cNvSpPr txBox="1">
          <a:spLocks noChangeArrowheads="1"/>
        </xdr:cNvSpPr>
      </xdr:nvSpPr>
      <xdr:spPr>
        <a:xfrm>
          <a:off x="6315075" y="20164425"/>
          <a:ext cx="2028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304800</xdr:colOff>
      <xdr:row>95</xdr:row>
      <xdr:rowOff>66675</xdr:rowOff>
    </xdr:from>
    <xdr:to>
      <xdr:col>0</xdr:col>
      <xdr:colOff>381000</xdr:colOff>
      <xdr:row>96</xdr:row>
      <xdr:rowOff>0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304800" y="2329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2676525</xdr:colOff>
      <xdr:row>95</xdr:row>
      <xdr:rowOff>180975</xdr:rowOff>
    </xdr:from>
    <xdr:to>
      <xdr:col>9</xdr:col>
      <xdr:colOff>114300</xdr:colOff>
      <xdr:row>101</xdr:row>
      <xdr:rowOff>57150</xdr:rowOff>
    </xdr:to>
    <xdr:grpSp>
      <xdr:nvGrpSpPr>
        <xdr:cNvPr id="6" name="Group 21"/>
        <xdr:cNvGrpSpPr>
          <a:grpSpLocks/>
        </xdr:cNvGrpSpPr>
      </xdr:nvGrpSpPr>
      <xdr:grpSpPr>
        <a:xfrm>
          <a:off x="2676525" y="23412450"/>
          <a:ext cx="11010900" cy="1019175"/>
          <a:chOff x="207" y="2562"/>
          <a:chExt cx="1150" cy="104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207" y="2562"/>
            <a:ext cx="1150" cy="74"/>
            <a:chOff x="3329" y="39615"/>
            <a:chExt cx="18781" cy="1136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3329" y="39615"/>
              <a:ext cx="6728" cy="11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Délcio Rodrigues e Silva Neto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5856" y="39645"/>
              <a:ext cx="6254" cy="10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Jackson dos Santos Castro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635" y="2581"/>
            <a:ext cx="292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771525</xdr:colOff>
      <xdr:row>5</xdr:row>
      <xdr:rowOff>19050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152400</xdr:rowOff>
    </xdr:from>
    <xdr:to>
      <xdr:col>8</xdr:col>
      <xdr:colOff>981075</xdr:colOff>
      <xdr:row>41</xdr:row>
      <xdr:rowOff>38100</xdr:rowOff>
    </xdr:to>
    <xdr:grpSp>
      <xdr:nvGrpSpPr>
        <xdr:cNvPr id="2" name="Group 21"/>
        <xdr:cNvGrpSpPr>
          <a:grpSpLocks/>
        </xdr:cNvGrpSpPr>
      </xdr:nvGrpSpPr>
      <xdr:grpSpPr>
        <a:xfrm>
          <a:off x="0" y="7839075"/>
          <a:ext cx="11077575" cy="1181100"/>
          <a:chOff x="274" y="2573"/>
          <a:chExt cx="937" cy="137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274" y="2573"/>
            <a:ext cx="937" cy="87"/>
            <a:chOff x="4295" y="39265"/>
            <a:chExt cx="15637" cy="1318"/>
          </a:xfrm>
          <a:solidFill>
            <a:srgbClr val="FFFFFF"/>
          </a:solidFill>
        </xdr:grpSpPr>
        <xdr:sp fLocksText="0">
          <xdr:nvSpPr>
            <xdr:cNvPr id="4" name="Text Box 23"/>
            <xdr:cNvSpPr txBox="1">
              <a:spLocks noChangeArrowheads="1"/>
            </xdr:cNvSpPr>
          </xdr:nvSpPr>
          <xdr:spPr>
            <a:xfrm>
              <a:off x="4295" y="39265"/>
              <a:ext cx="6196" cy="11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5" name="Text Box 24"/>
            <xdr:cNvSpPr txBox="1">
              <a:spLocks noChangeArrowheads="1"/>
            </xdr:cNvSpPr>
          </xdr:nvSpPr>
          <xdr:spPr>
            <a:xfrm>
              <a:off x="14189" y="39399"/>
              <a:ext cx="5743" cy="11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Jackson dos Santos Castro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</xdr:grpSp>
      <xdr:sp>
        <xdr:nvSpPr>
          <xdr:cNvPr id="6" name="Text Box 28"/>
          <xdr:cNvSpPr txBox="1">
            <a:spLocks noChangeArrowheads="1"/>
          </xdr:cNvSpPr>
        </xdr:nvSpPr>
        <xdr:spPr>
          <a:xfrm>
            <a:off x="590" y="2616"/>
            <a:ext cx="360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 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153</xdr:row>
      <xdr:rowOff>0</xdr:rowOff>
    </xdr:from>
    <xdr:to>
      <xdr:col>1</xdr:col>
      <xdr:colOff>180975</xdr:colOff>
      <xdr:row>153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50945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0</xdr:col>
      <xdr:colOff>590550</xdr:colOff>
      <xdr:row>5</xdr:row>
      <xdr:rowOff>0</xdr:rowOff>
    </xdr:to>
    <xdr:pic>
      <xdr:nvPicPr>
        <xdr:cNvPr id="2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447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153</xdr:row>
      <xdr:rowOff>0</xdr:rowOff>
    </xdr:from>
    <xdr:to>
      <xdr:col>1</xdr:col>
      <xdr:colOff>180975</xdr:colOff>
      <xdr:row>153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50945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171450</xdr:colOff>
      <xdr:row>4</xdr:row>
      <xdr:rowOff>152400</xdr:rowOff>
    </xdr:to>
    <xdr:pic>
      <xdr:nvPicPr>
        <xdr:cNvPr id="4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571500</xdr:colOff>
      <xdr:row>158</xdr:row>
      <xdr:rowOff>28575</xdr:rowOff>
    </xdr:from>
    <xdr:ext cx="2124075" cy="266700"/>
    <xdr:sp>
      <xdr:nvSpPr>
        <xdr:cNvPr id="5" name="CaixaDeTexto 5"/>
        <xdr:cNvSpPr txBox="1">
          <a:spLocks noChangeArrowheads="1"/>
        </xdr:cNvSpPr>
      </xdr:nvSpPr>
      <xdr:spPr>
        <a:xfrm>
          <a:off x="1162050" y="3844290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819150</xdr:colOff>
      <xdr:row>157</xdr:row>
      <xdr:rowOff>142875</xdr:rowOff>
    </xdr:from>
    <xdr:ext cx="2066925" cy="276225"/>
    <xdr:sp fLocksText="0">
      <xdr:nvSpPr>
        <xdr:cNvPr id="6" name="CaixaDeTexto 6"/>
        <xdr:cNvSpPr txBox="1">
          <a:spLocks noChangeArrowheads="1"/>
        </xdr:cNvSpPr>
      </xdr:nvSpPr>
      <xdr:spPr>
        <a:xfrm>
          <a:off x="5448300" y="38376225"/>
          <a:ext cx="2066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733425</xdr:colOff>
      <xdr:row>159</xdr:row>
      <xdr:rowOff>28575</xdr:rowOff>
    </xdr:from>
    <xdr:to>
      <xdr:col>10</xdr:col>
      <xdr:colOff>666750</xdr:colOff>
      <xdr:row>167</xdr:row>
      <xdr:rowOff>76200</xdr:rowOff>
    </xdr:to>
    <xdr:grpSp>
      <xdr:nvGrpSpPr>
        <xdr:cNvPr id="7" name="Group 21"/>
        <xdr:cNvGrpSpPr>
          <a:grpSpLocks/>
        </xdr:cNvGrpSpPr>
      </xdr:nvGrpSpPr>
      <xdr:grpSpPr>
        <a:xfrm>
          <a:off x="1323975" y="38633400"/>
          <a:ext cx="12896850" cy="1485900"/>
          <a:chOff x="274" y="2607"/>
          <a:chExt cx="937" cy="139"/>
        </a:xfrm>
        <a:solidFill>
          <a:srgbClr val="FFFFFF"/>
        </a:solidFill>
      </xdr:grpSpPr>
      <xdr:grpSp>
        <xdr:nvGrpSpPr>
          <xdr:cNvPr id="8" name="Group 22"/>
          <xdr:cNvGrpSpPr>
            <a:grpSpLocks/>
          </xdr:cNvGrpSpPr>
        </xdr:nvGrpSpPr>
        <xdr:grpSpPr>
          <a:xfrm>
            <a:off x="274" y="2607"/>
            <a:ext cx="937" cy="92"/>
            <a:chOff x="4297" y="38997"/>
            <a:chExt cx="15622" cy="1366"/>
          </a:xfrm>
          <a:solidFill>
            <a:srgbClr val="FFFFFF"/>
          </a:solidFill>
        </xdr:grpSpPr>
        <xdr:sp fLocksText="0">
          <xdr:nvSpPr>
            <xdr:cNvPr id="9" name="Text Box 23"/>
            <xdr:cNvSpPr txBox="1">
              <a:spLocks noChangeArrowheads="1"/>
            </xdr:cNvSpPr>
          </xdr:nvSpPr>
          <xdr:spPr>
            <a:xfrm>
              <a:off x="4297" y="38997"/>
              <a:ext cx="6182" cy="107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Délcio Rodrigues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e Silva Neto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10" name="Text Box 24"/>
            <xdr:cNvSpPr txBox="1">
              <a:spLocks noChangeArrowheads="1"/>
            </xdr:cNvSpPr>
          </xdr:nvSpPr>
          <xdr:spPr>
            <a:xfrm>
              <a:off x="14209" y="39090"/>
              <a:ext cx="5710" cy="12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Jackson dos Santos Castro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 Geral do Município</a:t>
              </a:r>
            </a:p>
          </xdr:txBody>
        </xdr:sp>
      </xdr:grpSp>
      <xdr:sp>
        <xdr:nvSpPr>
          <xdr:cNvPr id="11" name="Text Box 28"/>
          <xdr:cNvSpPr txBox="1">
            <a:spLocks noChangeArrowheads="1"/>
          </xdr:cNvSpPr>
        </xdr:nvSpPr>
        <xdr:spPr>
          <a:xfrm>
            <a:off x="546" y="2652"/>
            <a:ext cx="424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733425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5</xdr:col>
      <xdr:colOff>0</xdr:colOff>
      <xdr:row>40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9915525"/>
          <a:ext cx="1149667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9915525"/>
            <a:ext cx="450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269951186" y="9915525"/>
            <a:ext cx="513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81" y="9915525"/>
            <a:ext cx="450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428625</xdr:colOff>
      <xdr:row>39</xdr:row>
      <xdr:rowOff>66675</xdr:rowOff>
    </xdr:from>
    <xdr:to>
      <xdr:col>11</xdr:col>
      <xdr:colOff>514350</xdr:colOff>
      <xdr:row>45</xdr:row>
      <xdr:rowOff>9525</xdr:rowOff>
    </xdr:to>
    <xdr:grpSp>
      <xdr:nvGrpSpPr>
        <xdr:cNvPr id="6" name="Group 21"/>
        <xdr:cNvGrpSpPr>
          <a:grpSpLocks/>
        </xdr:cNvGrpSpPr>
      </xdr:nvGrpSpPr>
      <xdr:grpSpPr>
        <a:xfrm>
          <a:off x="428625" y="9820275"/>
          <a:ext cx="16544925" cy="1057275"/>
          <a:chOff x="277" y="2542"/>
          <a:chExt cx="933" cy="154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277" y="2542"/>
            <a:ext cx="933" cy="93"/>
            <a:chOff x="4354" y="40048"/>
            <a:chExt cx="15561" cy="1454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4354" y="40135"/>
              <a:ext cx="6182" cy="1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4173" y="40048"/>
              <a:ext cx="5742" cy="13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Jackson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dos Santos Castro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546" y="2602"/>
            <a:ext cx="426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 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638175</xdr:colOff>
      <xdr:row>4</xdr:row>
      <xdr:rowOff>28575</xdr:rowOff>
    </xdr:to>
    <xdr:pic>
      <xdr:nvPicPr>
        <xdr:cNvPr id="1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103</xdr:row>
      <xdr:rowOff>0</xdr:rowOff>
    </xdr:from>
    <xdr:to>
      <xdr:col>4</xdr:col>
      <xdr:colOff>895350</xdr:colOff>
      <xdr:row>103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95275" y="26536650"/>
          <a:ext cx="9258300" cy="0"/>
          <a:chOff x="1215" y="38223"/>
          <a:chExt cx="12496" cy="73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18394319" y="26536650"/>
            <a:ext cx="361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47296654" y="26536650"/>
            <a:ext cx="359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2079853555" y="26536650"/>
            <a:ext cx="3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47625</xdr:colOff>
      <xdr:row>97</xdr:row>
      <xdr:rowOff>57150</xdr:rowOff>
    </xdr:from>
    <xdr:to>
      <xdr:col>4</xdr:col>
      <xdr:colOff>1104900</xdr:colOff>
      <xdr:row>105</xdr:row>
      <xdr:rowOff>28575</xdr:rowOff>
    </xdr:to>
    <xdr:grpSp>
      <xdr:nvGrpSpPr>
        <xdr:cNvPr id="6" name="Group 21"/>
        <xdr:cNvGrpSpPr>
          <a:grpSpLocks/>
        </xdr:cNvGrpSpPr>
      </xdr:nvGrpSpPr>
      <xdr:grpSpPr>
        <a:xfrm>
          <a:off x="47625" y="25622250"/>
          <a:ext cx="9715500" cy="1323975"/>
          <a:chOff x="291" y="2639"/>
          <a:chExt cx="895" cy="131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291" y="2639"/>
            <a:ext cx="895" cy="77"/>
            <a:chOff x="4530" y="39579"/>
            <a:chExt cx="15038" cy="1147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4530" y="39621"/>
              <a:ext cx="5970" cy="11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5203" y="39579"/>
              <a:ext cx="4365" cy="11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Jackson dos Santos Castro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571" y="2676"/>
            <a:ext cx="42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47625</xdr:colOff>
      <xdr:row>5</xdr:row>
      <xdr:rowOff>66675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61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1600200</xdr:colOff>
      <xdr:row>137</xdr:row>
      <xdr:rowOff>0</xdr:rowOff>
    </xdr:from>
    <xdr:to>
      <xdr:col>10</xdr:col>
      <xdr:colOff>619125</xdr:colOff>
      <xdr:row>141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2257425" y="30803850"/>
          <a:ext cx="11258550" cy="1076325"/>
          <a:chOff x="207" y="2562"/>
          <a:chExt cx="1150" cy="108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207" y="2562"/>
            <a:ext cx="1150" cy="74"/>
            <a:chOff x="3329" y="39615"/>
            <a:chExt cx="18781" cy="1136"/>
          </a:xfrm>
          <a:solidFill>
            <a:srgbClr val="FFFFFF"/>
          </a:solidFill>
        </xdr:grpSpPr>
        <xdr:sp fLocksText="0">
          <xdr:nvSpPr>
            <xdr:cNvPr id="4" name="Text Box 23"/>
            <xdr:cNvSpPr txBox="1">
              <a:spLocks noChangeArrowheads="1"/>
            </xdr:cNvSpPr>
          </xdr:nvSpPr>
          <xdr:spPr>
            <a:xfrm>
              <a:off x="3329" y="39615"/>
              <a:ext cx="6705" cy="11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Délcio Rodrigues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e Silva Neto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5" name="Text Box 24"/>
            <xdr:cNvSpPr txBox="1">
              <a:spLocks noChangeArrowheads="1"/>
            </xdr:cNvSpPr>
          </xdr:nvSpPr>
          <xdr:spPr>
            <a:xfrm>
              <a:off x="15851" y="39644"/>
              <a:ext cx="6259" cy="10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Jackson dos Santos Castro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 Geral do Município</a:t>
              </a:r>
            </a:p>
          </xdr:txBody>
        </xdr:sp>
      </xdr:grpSp>
      <xdr:sp>
        <xdr:nvSpPr>
          <xdr:cNvPr id="6" name="Text Box 28"/>
          <xdr:cNvSpPr txBox="1">
            <a:spLocks noChangeArrowheads="1"/>
          </xdr:cNvSpPr>
        </xdr:nvSpPr>
        <xdr:spPr>
          <a:xfrm>
            <a:off x="599" y="2585"/>
            <a:ext cx="425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0</xdr:col>
      <xdr:colOff>790575</xdr:colOff>
      <xdr:row>4</xdr:row>
      <xdr:rowOff>171450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38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219075</xdr:rowOff>
    </xdr:from>
    <xdr:to>
      <xdr:col>14</xdr:col>
      <xdr:colOff>171450</xdr:colOff>
      <xdr:row>49</xdr:row>
      <xdr:rowOff>123825</xdr:rowOff>
    </xdr:to>
    <xdr:grpSp>
      <xdr:nvGrpSpPr>
        <xdr:cNvPr id="2" name="Group 21"/>
        <xdr:cNvGrpSpPr>
          <a:grpSpLocks/>
        </xdr:cNvGrpSpPr>
      </xdr:nvGrpSpPr>
      <xdr:grpSpPr>
        <a:xfrm>
          <a:off x="2276475" y="10648950"/>
          <a:ext cx="10982325" cy="1428750"/>
          <a:chOff x="-80" y="2534"/>
          <a:chExt cx="2059" cy="131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-80" y="2534"/>
            <a:ext cx="2059" cy="112"/>
            <a:chOff x="-1376" y="39841"/>
            <a:chExt cx="33630" cy="1748"/>
          </a:xfrm>
          <a:solidFill>
            <a:srgbClr val="FFFFFF"/>
          </a:solidFill>
        </xdr:grpSpPr>
        <xdr:sp fLocksText="0">
          <xdr:nvSpPr>
            <xdr:cNvPr id="4" name="Text Box 23"/>
            <xdr:cNvSpPr txBox="1">
              <a:spLocks noChangeArrowheads="1"/>
            </xdr:cNvSpPr>
          </xdr:nvSpPr>
          <xdr:spPr>
            <a:xfrm>
              <a:off x="-1376" y="40086"/>
              <a:ext cx="10820" cy="14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Délcio Rodrigues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e Silva Neto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5" name="Text Box 24"/>
            <xdr:cNvSpPr txBox="1">
              <a:spLocks noChangeArrowheads="1"/>
            </xdr:cNvSpPr>
          </xdr:nvSpPr>
          <xdr:spPr>
            <a:xfrm>
              <a:off x="24351" y="39841"/>
              <a:ext cx="7903" cy="10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Jackson dos Santos Castro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 Geral do Município</a:t>
              </a:r>
            </a:p>
          </xdr:txBody>
        </xdr:sp>
      </xdr:grpSp>
      <xdr:sp>
        <xdr:nvSpPr>
          <xdr:cNvPr id="6" name="Text Box 28"/>
          <xdr:cNvSpPr txBox="1">
            <a:spLocks noChangeArrowheads="1"/>
          </xdr:cNvSpPr>
        </xdr:nvSpPr>
        <xdr:spPr>
          <a:xfrm>
            <a:off x="729" y="2580"/>
            <a:ext cx="605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695325</xdr:colOff>
      <xdr:row>4</xdr:row>
      <xdr:rowOff>85725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1190625</xdr:colOff>
      <xdr:row>158</xdr:row>
      <xdr:rowOff>85725</xdr:rowOff>
    </xdr:from>
    <xdr:to>
      <xdr:col>9</xdr:col>
      <xdr:colOff>123825</xdr:colOff>
      <xdr:row>164</xdr:row>
      <xdr:rowOff>95250</xdr:rowOff>
    </xdr:to>
    <xdr:grpSp>
      <xdr:nvGrpSpPr>
        <xdr:cNvPr id="2" name="Group 21"/>
        <xdr:cNvGrpSpPr>
          <a:grpSpLocks/>
        </xdr:cNvGrpSpPr>
      </xdr:nvGrpSpPr>
      <xdr:grpSpPr>
        <a:xfrm>
          <a:off x="1190625" y="35613975"/>
          <a:ext cx="10715625" cy="1095375"/>
          <a:chOff x="207" y="2562"/>
          <a:chExt cx="1150" cy="108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207" y="2562"/>
            <a:ext cx="1150" cy="74"/>
            <a:chOff x="3329" y="39615"/>
            <a:chExt cx="18781" cy="1136"/>
          </a:xfrm>
          <a:solidFill>
            <a:srgbClr val="FFFFFF"/>
          </a:solidFill>
        </xdr:grpSpPr>
        <xdr:sp fLocksText="0">
          <xdr:nvSpPr>
            <xdr:cNvPr id="4" name="Text Box 23"/>
            <xdr:cNvSpPr txBox="1">
              <a:spLocks noChangeArrowheads="1"/>
            </xdr:cNvSpPr>
          </xdr:nvSpPr>
          <xdr:spPr>
            <a:xfrm>
              <a:off x="3329" y="39615"/>
              <a:ext cx="6710" cy="11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Délcio Rodrigues e Silva Neto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5" name="Text Box 24"/>
            <xdr:cNvSpPr txBox="1">
              <a:spLocks noChangeArrowheads="1"/>
            </xdr:cNvSpPr>
          </xdr:nvSpPr>
          <xdr:spPr>
            <a:xfrm>
              <a:off x="15851" y="39644"/>
              <a:ext cx="6259" cy="10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Jackson dos Santos Castro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 Geral do Município</a:t>
              </a:r>
            </a:p>
          </xdr:txBody>
        </xdr:sp>
      </xdr:grpSp>
      <xdr:sp>
        <xdr:nvSpPr>
          <xdr:cNvPr id="6" name="Text Box 28"/>
          <xdr:cNvSpPr txBox="1">
            <a:spLocks noChangeArrowheads="1"/>
          </xdr:cNvSpPr>
        </xdr:nvSpPr>
        <xdr:spPr>
          <a:xfrm>
            <a:off x="599" y="2585"/>
            <a:ext cx="427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161925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121</xdr:row>
      <xdr:rowOff>0</xdr:rowOff>
    </xdr:from>
    <xdr:to>
      <xdr:col>5</xdr:col>
      <xdr:colOff>0</xdr:colOff>
      <xdr:row>121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28222575"/>
          <a:ext cx="1018222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28222575"/>
            <a:ext cx="463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345217050" y="28222575"/>
            <a:ext cx="489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1700146024" y="28222575"/>
            <a:ext cx="488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47625</xdr:colOff>
      <xdr:row>121</xdr:row>
      <xdr:rowOff>0</xdr:rowOff>
    </xdr:from>
    <xdr:to>
      <xdr:col>5</xdr:col>
      <xdr:colOff>0</xdr:colOff>
      <xdr:row>121</xdr:row>
      <xdr:rowOff>0</xdr:rowOff>
    </xdr:to>
    <xdr:grpSp>
      <xdr:nvGrpSpPr>
        <xdr:cNvPr id="6" name="Group 3"/>
        <xdr:cNvGrpSpPr>
          <a:grpSpLocks/>
        </xdr:cNvGrpSpPr>
      </xdr:nvGrpSpPr>
      <xdr:grpSpPr>
        <a:xfrm>
          <a:off x="47625" y="28222575"/>
          <a:ext cx="1018222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7" name="Text Box 4"/>
          <xdr:cNvSpPr txBox="1">
            <a:spLocks noChangeArrowheads="1"/>
          </xdr:cNvSpPr>
        </xdr:nvSpPr>
        <xdr:spPr>
          <a:xfrm>
            <a:off x="81" y="28222575"/>
            <a:ext cx="458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8" name="Text Box 5"/>
          <xdr:cNvSpPr txBox="1">
            <a:spLocks noChangeArrowheads="1"/>
          </xdr:cNvSpPr>
        </xdr:nvSpPr>
        <xdr:spPr>
          <a:xfrm>
            <a:off x="81" y="28222575"/>
            <a:ext cx="49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9" name="Text Box 6"/>
          <xdr:cNvSpPr txBox="1">
            <a:spLocks noChangeArrowheads="1"/>
          </xdr:cNvSpPr>
        </xdr:nvSpPr>
        <xdr:spPr>
          <a:xfrm>
            <a:off x="81" y="28222575"/>
            <a:ext cx="49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1790700</xdr:colOff>
      <xdr:row>122</xdr:row>
      <xdr:rowOff>66675</xdr:rowOff>
    </xdr:from>
    <xdr:to>
      <xdr:col>15</xdr:col>
      <xdr:colOff>390525</xdr:colOff>
      <xdr:row>129</xdr:row>
      <xdr:rowOff>47625</xdr:rowOff>
    </xdr:to>
    <xdr:grpSp>
      <xdr:nvGrpSpPr>
        <xdr:cNvPr id="10" name="Group 21"/>
        <xdr:cNvGrpSpPr>
          <a:grpSpLocks/>
        </xdr:cNvGrpSpPr>
      </xdr:nvGrpSpPr>
      <xdr:grpSpPr>
        <a:xfrm>
          <a:off x="1790700" y="28479750"/>
          <a:ext cx="11934825" cy="1314450"/>
          <a:chOff x="371" y="2542"/>
          <a:chExt cx="807" cy="129"/>
        </a:xfrm>
        <a:solidFill>
          <a:srgbClr val="FFFFFF"/>
        </a:solidFill>
      </xdr:grpSpPr>
      <xdr:grpSp>
        <xdr:nvGrpSpPr>
          <xdr:cNvPr id="11" name="Group 22"/>
          <xdr:cNvGrpSpPr>
            <a:grpSpLocks/>
          </xdr:cNvGrpSpPr>
        </xdr:nvGrpSpPr>
        <xdr:grpSpPr>
          <a:xfrm>
            <a:off x="371" y="2542"/>
            <a:ext cx="807" cy="94"/>
            <a:chOff x="5878" y="39615"/>
            <a:chExt cx="13460" cy="1454"/>
          </a:xfrm>
          <a:solidFill>
            <a:srgbClr val="FFFFFF"/>
          </a:solidFill>
        </xdr:grpSpPr>
        <xdr:sp fLocksText="0">
          <xdr:nvSpPr>
            <xdr:cNvPr id="12" name="Text Box 23"/>
            <xdr:cNvSpPr txBox="1">
              <a:spLocks noChangeArrowheads="1"/>
            </xdr:cNvSpPr>
          </xdr:nvSpPr>
          <xdr:spPr>
            <a:xfrm>
              <a:off x="5878" y="39615"/>
              <a:ext cx="5071" cy="14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13" name="Text Box 24"/>
            <xdr:cNvSpPr txBox="1">
              <a:spLocks noChangeArrowheads="1"/>
            </xdr:cNvSpPr>
          </xdr:nvSpPr>
          <xdr:spPr>
            <a:xfrm>
              <a:off x="14052" y="39745"/>
              <a:ext cx="5286" cy="104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Jackson dos Santos Castro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</xdr:grpSp>
      <xdr:sp>
        <xdr:nvSpPr>
          <xdr:cNvPr id="14" name="Text Box 28"/>
          <xdr:cNvSpPr txBox="1">
            <a:spLocks noChangeArrowheads="1"/>
          </xdr:cNvSpPr>
        </xdr:nvSpPr>
        <xdr:spPr>
          <a:xfrm>
            <a:off x="611" y="2585"/>
            <a:ext cx="324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64</xdr:row>
      <xdr:rowOff>0</xdr:rowOff>
    </xdr:from>
    <xdr:to>
      <xdr:col>11</xdr:col>
      <xdr:colOff>0</xdr:colOff>
      <xdr:row>64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15963900"/>
          <a:ext cx="14268450" cy="0"/>
          <a:chOff x="821" y="26691"/>
          <a:chExt cx="18538" cy="88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90693185" y="15963900"/>
            <a:ext cx="54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802663483" y="15963900"/>
            <a:ext cx="54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207548747" y="15963900"/>
            <a:ext cx="55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752475</xdr:colOff>
      <xdr:row>5</xdr:row>
      <xdr:rowOff>9525</xdr:rowOff>
    </xdr:to>
    <xdr:pic>
      <xdr:nvPicPr>
        <xdr:cNvPr id="5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95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72</xdr:row>
      <xdr:rowOff>57150</xdr:rowOff>
    </xdr:from>
    <xdr:to>
      <xdr:col>11</xdr:col>
      <xdr:colOff>238125</xdr:colOff>
      <xdr:row>77</xdr:row>
      <xdr:rowOff>0</xdr:rowOff>
    </xdr:to>
    <xdr:grpSp>
      <xdr:nvGrpSpPr>
        <xdr:cNvPr id="6" name="Group 21"/>
        <xdr:cNvGrpSpPr>
          <a:grpSpLocks/>
        </xdr:cNvGrpSpPr>
      </xdr:nvGrpSpPr>
      <xdr:grpSpPr>
        <a:xfrm>
          <a:off x="2257425" y="17573625"/>
          <a:ext cx="12744450" cy="847725"/>
          <a:chOff x="372" y="2640"/>
          <a:chExt cx="759" cy="97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372" y="2640"/>
            <a:ext cx="759" cy="94"/>
            <a:chOff x="5897" y="41086"/>
            <a:chExt cx="12663" cy="1453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5897" y="41086"/>
              <a:ext cx="5072" cy="14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3742" y="41103"/>
              <a:ext cx="4818" cy="10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Jackson dos Santos Castro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614" y="2651"/>
            <a:ext cx="321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0</xdr:col>
      <xdr:colOff>752475</xdr:colOff>
      <xdr:row>4</xdr:row>
      <xdr:rowOff>171450</xdr:rowOff>
    </xdr:to>
    <xdr:pic>
      <xdr:nvPicPr>
        <xdr:cNvPr id="1" name="Figura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166</xdr:row>
      <xdr:rowOff>0</xdr:rowOff>
    </xdr:from>
    <xdr:to>
      <xdr:col>4</xdr:col>
      <xdr:colOff>285750</xdr:colOff>
      <xdr:row>166</xdr:row>
      <xdr:rowOff>0</xdr:rowOff>
    </xdr:to>
    <xdr:grpSp>
      <xdr:nvGrpSpPr>
        <xdr:cNvPr id="2" name="Group 8"/>
        <xdr:cNvGrpSpPr>
          <a:grpSpLocks/>
        </xdr:cNvGrpSpPr>
      </xdr:nvGrpSpPr>
      <xdr:grpSpPr>
        <a:xfrm>
          <a:off x="819150" y="39300150"/>
          <a:ext cx="11077575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3" name="Text Box 9"/>
          <xdr:cNvSpPr txBox="1">
            <a:spLocks noChangeArrowheads="1"/>
          </xdr:cNvSpPr>
        </xdr:nvSpPr>
        <xdr:spPr>
          <a:xfrm>
            <a:off x="1359" y="39300150"/>
            <a:ext cx="360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10"/>
          <xdr:cNvSpPr txBox="1">
            <a:spLocks noChangeArrowheads="1"/>
          </xdr:cNvSpPr>
        </xdr:nvSpPr>
        <xdr:spPr>
          <a:xfrm>
            <a:off x="1359" y="39300150"/>
            <a:ext cx="364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1359" y="39300150"/>
            <a:ext cx="360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819150</xdr:colOff>
      <xdr:row>166</xdr:row>
      <xdr:rowOff>0</xdr:rowOff>
    </xdr:from>
    <xdr:to>
      <xdr:col>4</xdr:col>
      <xdr:colOff>285750</xdr:colOff>
      <xdr:row>166</xdr:row>
      <xdr:rowOff>0</xdr:rowOff>
    </xdr:to>
    <xdr:grpSp>
      <xdr:nvGrpSpPr>
        <xdr:cNvPr id="6" name="Group 8"/>
        <xdr:cNvGrpSpPr>
          <a:grpSpLocks/>
        </xdr:cNvGrpSpPr>
      </xdr:nvGrpSpPr>
      <xdr:grpSpPr>
        <a:xfrm>
          <a:off x="819150" y="39300150"/>
          <a:ext cx="11077575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7" name="Text Box 9"/>
          <xdr:cNvSpPr txBox="1">
            <a:spLocks noChangeArrowheads="1"/>
          </xdr:cNvSpPr>
        </xdr:nvSpPr>
        <xdr:spPr>
          <a:xfrm>
            <a:off x="434698102" y="39300150"/>
            <a:ext cx="36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8" name="Text Box 10"/>
          <xdr:cNvSpPr txBox="1">
            <a:spLocks noChangeArrowheads="1"/>
          </xdr:cNvSpPr>
        </xdr:nvSpPr>
        <xdr:spPr>
          <a:xfrm>
            <a:off x="1359" y="39300150"/>
            <a:ext cx="365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9" name="Text Box 11"/>
          <xdr:cNvSpPr txBox="1">
            <a:spLocks noChangeArrowheads="1"/>
          </xdr:cNvSpPr>
        </xdr:nvSpPr>
        <xdr:spPr>
          <a:xfrm>
            <a:off x="535363747" y="39300150"/>
            <a:ext cx="36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1524000</xdr:colOff>
      <xdr:row>168</xdr:row>
      <xdr:rowOff>95250</xdr:rowOff>
    </xdr:from>
    <xdr:to>
      <xdr:col>7</xdr:col>
      <xdr:colOff>504825</xdr:colOff>
      <xdr:row>175</xdr:row>
      <xdr:rowOff>133350</xdr:rowOff>
    </xdr:to>
    <xdr:grpSp>
      <xdr:nvGrpSpPr>
        <xdr:cNvPr id="10" name="Group 21"/>
        <xdr:cNvGrpSpPr>
          <a:grpSpLocks/>
        </xdr:cNvGrpSpPr>
      </xdr:nvGrpSpPr>
      <xdr:grpSpPr>
        <a:xfrm>
          <a:off x="1524000" y="39776400"/>
          <a:ext cx="13992225" cy="1438275"/>
          <a:chOff x="274" y="2591"/>
          <a:chExt cx="937" cy="151"/>
        </a:xfrm>
        <a:solidFill>
          <a:srgbClr val="FFFFFF"/>
        </a:solidFill>
      </xdr:grpSpPr>
      <xdr:grpSp>
        <xdr:nvGrpSpPr>
          <xdr:cNvPr id="11" name="Group 22"/>
          <xdr:cNvGrpSpPr>
            <a:grpSpLocks/>
          </xdr:cNvGrpSpPr>
        </xdr:nvGrpSpPr>
        <xdr:grpSpPr>
          <a:xfrm>
            <a:off x="274" y="2591"/>
            <a:ext cx="937" cy="92"/>
            <a:chOff x="4295" y="39615"/>
            <a:chExt cx="15625" cy="1397"/>
          </a:xfrm>
          <a:solidFill>
            <a:srgbClr val="FFFFFF"/>
          </a:solidFill>
        </xdr:grpSpPr>
        <xdr:sp fLocksText="0">
          <xdr:nvSpPr>
            <xdr:cNvPr id="12" name="Text Box 23"/>
            <xdr:cNvSpPr txBox="1">
              <a:spLocks noChangeArrowheads="1"/>
            </xdr:cNvSpPr>
          </xdr:nvSpPr>
          <xdr:spPr>
            <a:xfrm>
              <a:off x="4295" y="39615"/>
              <a:ext cx="6180" cy="13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7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Délcio Rodrigues e Silva Neto
</a:t>
              </a:r>
              <a:r>
                <a:rPr lang="en-US" cap="none" sz="17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13" name="Text Box 24"/>
            <xdr:cNvSpPr txBox="1">
              <a:spLocks noChangeArrowheads="1"/>
            </xdr:cNvSpPr>
          </xdr:nvSpPr>
          <xdr:spPr>
            <a:xfrm>
              <a:off x="14186" y="39645"/>
              <a:ext cx="5734" cy="12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7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Jackson dos Santos Castro
</a:t>
              </a:r>
              <a:r>
                <a:rPr lang="en-US" cap="none" sz="17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 Geral do Município</a:t>
              </a:r>
            </a:p>
          </xdr:txBody>
        </xdr:sp>
      </xdr:grpSp>
      <xdr:sp>
        <xdr:nvSpPr>
          <xdr:cNvPr id="14" name="Text Box 28"/>
          <xdr:cNvSpPr txBox="1">
            <a:spLocks noChangeArrowheads="1"/>
          </xdr:cNvSpPr>
        </xdr:nvSpPr>
        <xdr:spPr>
          <a:xfrm>
            <a:off x="551" y="2648"/>
            <a:ext cx="426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7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7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0</xdr:col>
      <xdr:colOff>771525</xdr:colOff>
      <xdr:row>5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28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6</xdr:col>
      <xdr:colOff>219075</xdr:colOff>
      <xdr:row>28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7839075"/>
          <a:ext cx="10115550" cy="0"/>
          <a:chOff x="0" y="16775"/>
          <a:chExt cx="13568" cy="73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0" y="7839075"/>
            <a:ext cx="401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0" y="7839075"/>
            <a:ext cx="40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326575139" y="7839075"/>
            <a:ext cx="40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85725</xdr:rowOff>
    </xdr:from>
    <xdr:to>
      <xdr:col>4</xdr:col>
      <xdr:colOff>2105025</xdr:colOff>
      <xdr:row>34</xdr:row>
      <xdr:rowOff>152400</xdr:rowOff>
    </xdr:to>
    <xdr:grpSp>
      <xdr:nvGrpSpPr>
        <xdr:cNvPr id="6" name="Group 21"/>
        <xdr:cNvGrpSpPr>
          <a:grpSpLocks/>
        </xdr:cNvGrpSpPr>
      </xdr:nvGrpSpPr>
      <xdr:grpSpPr>
        <a:xfrm>
          <a:off x="0" y="7372350"/>
          <a:ext cx="8534400" cy="1704975"/>
          <a:chOff x="371" y="2538"/>
          <a:chExt cx="866" cy="167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371" y="2538"/>
            <a:ext cx="866" cy="94"/>
            <a:chOff x="5878" y="39615"/>
            <a:chExt cx="14474" cy="1456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5878" y="39615"/>
              <a:ext cx="5088" cy="14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6249" y="39716"/>
              <a:ext cx="4103" cy="10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Jackson dos Santos Castro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666" y="2619"/>
            <a:ext cx="324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95250</xdr:rowOff>
    </xdr:from>
    <xdr:to>
      <xdr:col>8</xdr:col>
      <xdr:colOff>647700</xdr:colOff>
      <xdr:row>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304800</xdr:colOff>
      <xdr:row>184</xdr:row>
      <xdr:rowOff>0</xdr:rowOff>
    </xdr:from>
    <xdr:ext cx="15240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5029200" y="30994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12</xdr:col>
      <xdr:colOff>114300</xdr:colOff>
      <xdr:row>57</xdr:row>
      <xdr:rowOff>0</xdr:rowOff>
    </xdr:from>
    <xdr:to>
      <xdr:col>12</xdr:col>
      <xdr:colOff>647700</xdr:colOff>
      <xdr:row>57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869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304800</xdr:colOff>
      <xdr:row>184</xdr:row>
      <xdr:rowOff>0</xdr:rowOff>
    </xdr:from>
    <xdr:ext cx="152400" cy="0"/>
    <xdr:sp fLocksText="0">
      <xdr:nvSpPr>
        <xdr:cNvPr id="4" name="Text Box 2"/>
        <xdr:cNvSpPr txBox="1">
          <a:spLocks noChangeArrowheads="1"/>
        </xdr:cNvSpPr>
      </xdr:nvSpPr>
      <xdr:spPr>
        <a:xfrm>
          <a:off x="5029200" y="309943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304800</xdr:colOff>
      <xdr:row>185</xdr:row>
      <xdr:rowOff>66675</xdr:rowOff>
    </xdr:from>
    <xdr:ext cx="152400" cy="0"/>
    <xdr:sp fLocksText="0">
      <xdr:nvSpPr>
        <xdr:cNvPr id="5" name="Text Box 2"/>
        <xdr:cNvSpPr txBox="1">
          <a:spLocks noChangeArrowheads="1"/>
        </xdr:cNvSpPr>
      </xdr:nvSpPr>
      <xdr:spPr>
        <a:xfrm>
          <a:off x="5029200" y="312420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304800</xdr:colOff>
      <xdr:row>185</xdr:row>
      <xdr:rowOff>66675</xdr:rowOff>
    </xdr:from>
    <xdr:ext cx="152400" cy="0"/>
    <xdr:sp fLocksText="0">
      <xdr:nvSpPr>
        <xdr:cNvPr id="6" name="Text Box 2"/>
        <xdr:cNvSpPr txBox="1">
          <a:spLocks noChangeArrowheads="1"/>
        </xdr:cNvSpPr>
      </xdr:nvSpPr>
      <xdr:spPr>
        <a:xfrm>
          <a:off x="5029200" y="312420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114300</xdr:colOff>
      <xdr:row>57</xdr:row>
      <xdr:rowOff>0</xdr:rowOff>
    </xdr:from>
    <xdr:to>
      <xdr:col>8</xdr:col>
      <xdr:colOff>647700</xdr:colOff>
      <xdr:row>57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8869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19050</xdr:rowOff>
    </xdr:from>
    <xdr:to>
      <xdr:col>8</xdr:col>
      <xdr:colOff>590550</xdr:colOff>
      <xdr:row>4</xdr:row>
      <xdr:rowOff>114300</xdr:rowOff>
    </xdr:to>
    <xdr:pic>
      <xdr:nvPicPr>
        <xdr:cNvPr id="8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9050"/>
          <a:ext cx="571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179</xdr:row>
      <xdr:rowOff>66675</xdr:rowOff>
    </xdr:from>
    <xdr:to>
      <xdr:col>13</xdr:col>
      <xdr:colOff>0</xdr:colOff>
      <xdr:row>184</xdr:row>
      <xdr:rowOff>0</xdr:rowOff>
    </xdr:to>
    <xdr:grpSp>
      <xdr:nvGrpSpPr>
        <xdr:cNvPr id="9" name="Group 21"/>
        <xdr:cNvGrpSpPr>
          <a:grpSpLocks/>
        </xdr:cNvGrpSpPr>
      </xdr:nvGrpSpPr>
      <xdr:grpSpPr>
        <a:xfrm>
          <a:off x="4772025" y="30175200"/>
          <a:ext cx="7410450" cy="819150"/>
          <a:chOff x="340" y="2552"/>
          <a:chExt cx="628" cy="81"/>
        </a:xfrm>
        <a:solidFill>
          <a:srgbClr val="FFFFFF"/>
        </a:solidFill>
      </xdr:grpSpPr>
      <xdr:grpSp>
        <xdr:nvGrpSpPr>
          <xdr:cNvPr id="10" name="Group 22"/>
          <xdr:cNvGrpSpPr>
            <a:grpSpLocks/>
          </xdr:cNvGrpSpPr>
        </xdr:nvGrpSpPr>
        <xdr:grpSpPr>
          <a:xfrm>
            <a:off x="340" y="2552"/>
            <a:ext cx="628" cy="66"/>
            <a:chOff x="5262" y="39319"/>
            <a:chExt cx="10644" cy="1010"/>
          </a:xfrm>
          <a:solidFill>
            <a:srgbClr val="FFFFFF"/>
          </a:solidFill>
        </xdr:grpSpPr>
        <xdr:sp fLocksText="0">
          <xdr:nvSpPr>
            <xdr:cNvPr id="11" name="Text Box 23"/>
            <xdr:cNvSpPr txBox="1">
              <a:spLocks noChangeArrowheads="1"/>
            </xdr:cNvSpPr>
          </xdr:nvSpPr>
          <xdr:spPr>
            <a:xfrm>
              <a:off x="5262" y="39319"/>
              <a:ext cx="4242" cy="8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Délcio Rodrigues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e Silva Neto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12" name="Text Box 24"/>
            <xdr:cNvSpPr txBox="1">
              <a:spLocks noChangeArrowheads="1"/>
            </xdr:cNvSpPr>
          </xdr:nvSpPr>
          <xdr:spPr>
            <a:xfrm>
              <a:off x="12431" y="39463"/>
              <a:ext cx="3475" cy="86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Jackson dos Santos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Castro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 Geral do Município</a:t>
              </a:r>
            </a:p>
          </xdr:txBody>
        </xdr:sp>
      </xdr:grpSp>
      <xdr:sp>
        <xdr:nvSpPr>
          <xdr:cNvPr id="13" name="Text Box 28"/>
          <xdr:cNvSpPr txBox="1">
            <a:spLocks noChangeArrowheads="1"/>
          </xdr:cNvSpPr>
        </xdr:nvSpPr>
        <xdr:spPr>
          <a:xfrm>
            <a:off x="559" y="2570"/>
            <a:ext cx="233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  <xdr:twoCellAnchor editAs="oneCell">
    <xdr:from>
      <xdr:col>12</xdr:col>
      <xdr:colOff>114300</xdr:colOff>
      <xdr:row>146</xdr:row>
      <xdr:rowOff>0</xdr:rowOff>
    </xdr:from>
    <xdr:to>
      <xdr:col>12</xdr:col>
      <xdr:colOff>647700</xdr:colOff>
      <xdr:row>146</xdr:row>
      <xdr:rowOff>0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46888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146</xdr:row>
      <xdr:rowOff>0</xdr:rowOff>
    </xdr:from>
    <xdr:to>
      <xdr:col>8</xdr:col>
      <xdr:colOff>647700</xdr:colOff>
      <xdr:row>146</xdr:row>
      <xdr:rowOff>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46888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146</xdr:row>
      <xdr:rowOff>0</xdr:rowOff>
    </xdr:from>
    <xdr:to>
      <xdr:col>8</xdr:col>
      <xdr:colOff>647700</xdr:colOff>
      <xdr:row>146</xdr:row>
      <xdr:rowOff>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46888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All%20Users\Disco%20Virtual%202005\LRF\2004\AnexosRRE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\2008\REEO%2002_2008%20RRE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+2&#186;+BI%20-%2028-05-2010%20-%2018H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%206&#186;%20BIMESTRE%20RREO%202009%20-%2025-02-2010%20sergi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R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LRF\LRF%204&#186;%20BIMESTRE%20RREO%202010%20-%20config%20assinaturas%20-%2013-10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tero\Desktop\LRF%206&#186;%20BIMESTRE%20RREO%20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Nair%20Goytacaz\Downloads\RREO%20E%20RGF%202012\LRF%205&#186;%20BIMESTRE%20RREO%202012_PPP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RREO%20E%20RGF%202018\LRF%205&#186;%20BIMESTRE%20RREO%20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LRF%202&#186;%20BIMESTRE%20RREO%2020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LRF%205&#186;%20BIMESTRE%20RRE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All%20Users\Disco%20Virtual%202005\LRF\2004\AnexosRREO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Users\Nair%20Goytacaz\Downloads\RREO%20E%20RGF%202013\RREO%20E%20RGF%202011\LRF%206&#186;%20BIMESTRE%20RREO%2020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Nair%20Goytacaz\Downloads\RREO%20E%20RGF%202013\RREO%20E%20RGF%202011\LRF%205&#186;%20BIMESTRE%20RRE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%202005\LRF\2005\12_2005%20RRE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%202005\LRF\2005\12_2005%20RRE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\LRF\2006\06_2006%20RR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\LRF\2006\06_2006%20RR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\2008\REEO%2002_2008%20RR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\2008\REEO%2002_2008%20RRE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%20-%203o%20bimest%202009\LRF\2008\REEO%2002_2008%20RR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Plan1"/>
      <sheetName val="Anexo XVII _ Simplificad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_DP FUNC"/>
      <sheetName val="Anexo VI _ RES NOM"/>
    </sheetNames>
    <sheetDataSet>
      <sheetData sheetId="1">
        <row r="43">
          <cell r="A43" t="str">
            <v>FONTE: SECRETARIA MUNICIPAL DA FAZENDA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 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 SAÚDE"/>
      <sheetName val="Anexo XVII _ Simplificado"/>
    </sheetNames>
    <sheetDataSet>
      <sheetData sheetId="5">
        <row r="68">
          <cell r="A68" t="str">
            <v>FONTE: SECRETARIA MUNICIPAL DA FAZENDA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I _ Simplificado"/>
    </sheetNames>
    <sheetDataSet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II _ RPPS"/>
      <sheetName val="Anexo XIV _ AL ATIVOS"/>
      <sheetName val="Anexo XVI _ SAÚDE "/>
      <sheetName val="Anexo XVII _PPP"/>
      <sheetName val="Anexo XVIII _ Simplificado"/>
    </sheetNames>
    <sheetDataSet>
      <sheetData sheetId="0">
        <row r="96">
          <cell r="A96" t="str">
            <v>FONTE: SECRETARIA MUNICIPAL DA FAZENDA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VIII _ Simplificado"/>
    </sheetNames>
    <sheetDataSet>
      <sheetData sheetId="4">
        <row r="44">
          <cell r="A44" t="str">
            <v>FONTE: SECRETARIA MUNICIPAL DA FAZENDA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5 _ RES NOM"/>
      <sheetName val="Anexo 6 _ RES PRIM"/>
      <sheetName val="Anexo XII_PROJ AT REG GERAL HIP"/>
      <sheetName val="Anexo 7 _  RP"/>
      <sheetName val="Anexo 8 _ ENSINO"/>
      <sheetName val="Anexo 12 _ SAÚDE "/>
      <sheetName val="Anexo 13 _PPP"/>
      <sheetName val="Anexo 14 _ Simplificad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6 _ RES PRIM e NOM"/>
      <sheetName val="Anexo XII_PROJ AT REG GERAL HIP"/>
      <sheetName val="Anexo 7 _  RP"/>
      <sheetName val="Anexo 8 _ ENSINO"/>
      <sheetName val="Anexo 12 _ SAÚDE"/>
      <sheetName val="Anexo 13 _PPP"/>
      <sheetName val="Anexo 14 _ Simplificad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6 _ RES PRIM e NOM"/>
      <sheetName val="Anexo XII_PROJ AT REG GERAL HIP"/>
      <sheetName val="Anexo 7 _  RP"/>
      <sheetName val="Anexo 8 _ ENSINO"/>
      <sheetName val="Anexo 12 _ SAÚDE"/>
      <sheetName val="Anexo 13 _PPP"/>
      <sheetName val="Anexo 14 _ Simplificado"/>
    </sheetNames>
    <sheetDataSet>
      <sheetData sheetId="0">
        <row r="13">
          <cell r="G13">
            <v>665143188.0899999</v>
          </cell>
        </row>
        <row r="14">
          <cell r="G14">
            <v>17487421.11</v>
          </cell>
        </row>
        <row r="16">
          <cell r="G16">
            <v>55706498.42</v>
          </cell>
        </row>
        <row r="17">
          <cell r="G17">
            <v>57762581.25</v>
          </cell>
        </row>
        <row r="19">
          <cell r="G19">
            <v>372192.19</v>
          </cell>
        </row>
        <row r="20">
          <cell r="G20">
            <v>27387792.13</v>
          </cell>
        </row>
        <row r="21">
          <cell r="G21">
            <v>60027824.95</v>
          </cell>
        </row>
        <row r="23">
          <cell r="G23">
            <v>0</v>
          </cell>
        </row>
        <row r="24">
          <cell r="G24">
            <v>0</v>
          </cell>
        </row>
        <row r="26">
          <cell r="G26">
            <v>983946470.91</v>
          </cell>
        </row>
        <row r="27">
          <cell r="G27">
            <v>486239182.5</v>
          </cell>
        </row>
        <row r="28">
          <cell r="G28">
            <v>277420</v>
          </cell>
        </row>
        <row r="29">
          <cell r="G29">
            <v>333871467.17</v>
          </cell>
        </row>
        <row r="31">
          <cell r="G31">
            <v>10827210.99</v>
          </cell>
        </row>
        <row r="32">
          <cell r="G32">
            <v>21170503.000000004</v>
          </cell>
        </row>
        <row r="38">
          <cell r="G38">
            <v>86365922.34</v>
          </cell>
        </row>
        <row r="39">
          <cell r="G39">
            <v>26558970.33</v>
          </cell>
        </row>
        <row r="41">
          <cell r="G41">
            <v>0</v>
          </cell>
        </row>
        <row r="42">
          <cell r="G42">
            <v>0</v>
          </cell>
        </row>
        <row r="49">
          <cell r="G49">
            <v>58157265.19</v>
          </cell>
        </row>
        <row r="69">
          <cell r="E69">
            <v>1603798230.48</v>
          </cell>
          <cell r="H69">
            <v>1268457117.49</v>
          </cell>
        </row>
        <row r="70">
          <cell r="E70">
            <v>27640914.48</v>
          </cell>
          <cell r="H70">
            <v>23144371.08</v>
          </cell>
        </row>
        <row r="71">
          <cell r="E71">
            <v>1189485773.89</v>
          </cell>
          <cell r="H71">
            <v>847222704.9</v>
          </cell>
        </row>
        <row r="73">
          <cell r="E73">
            <v>369590094.98</v>
          </cell>
          <cell r="H73">
            <v>242136030.56</v>
          </cell>
        </row>
        <row r="74">
          <cell r="E74">
            <v>0</v>
          </cell>
          <cell r="H74">
            <v>0</v>
          </cell>
        </row>
        <row r="75">
          <cell r="E75">
            <v>81984273.28</v>
          </cell>
          <cell r="H75">
            <v>57129190.83</v>
          </cell>
        </row>
        <row r="76">
          <cell r="H76">
            <v>0</v>
          </cell>
        </row>
        <row r="77">
          <cell r="E77">
            <v>71224592</v>
          </cell>
          <cell r="H77">
            <v>48494770.7</v>
          </cell>
        </row>
      </sheetData>
      <sheetData sheetId="1">
        <row r="18">
          <cell r="F18">
            <v>1264207.32</v>
          </cell>
          <cell r="J18">
            <v>624588.35</v>
          </cell>
        </row>
        <row r="21">
          <cell r="F21">
            <v>3152566.88</v>
          </cell>
          <cell r="J21">
            <v>101234.8</v>
          </cell>
        </row>
        <row r="22">
          <cell r="F22">
            <v>384601713.18</v>
          </cell>
          <cell r="J22">
            <v>291745136.89</v>
          </cell>
        </row>
        <row r="23">
          <cell r="F23">
            <v>9629799.1</v>
          </cell>
          <cell r="J23">
            <v>3794452.38</v>
          </cell>
        </row>
        <row r="24">
          <cell r="F24">
            <v>9023711.7</v>
          </cell>
          <cell r="J24">
            <v>7779265.82</v>
          </cell>
        </row>
        <row r="25">
          <cell r="F25">
            <v>5512526.76</v>
          </cell>
          <cell r="J25">
            <v>4520911.09</v>
          </cell>
        </row>
        <row r="26">
          <cell r="F26">
            <v>855898.87</v>
          </cell>
          <cell r="J26">
            <v>392768.59</v>
          </cell>
        </row>
        <row r="27">
          <cell r="F27">
            <v>8420530.07</v>
          </cell>
          <cell r="J27">
            <v>4484411.86</v>
          </cell>
        </row>
        <row r="28">
          <cell r="F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3">
          <cell r="F33">
            <v>2264369.69</v>
          </cell>
          <cell r="J33">
            <v>1700779.9</v>
          </cell>
        </row>
        <row r="36">
          <cell r="F36">
            <v>21307394.22</v>
          </cell>
          <cell r="J36">
            <v>17015340.62</v>
          </cell>
        </row>
        <row r="37">
          <cell r="F37">
            <v>594030</v>
          </cell>
          <cell r="J37">
            <v>594003.69</v>
          </cell>
        </row>
        <row r="39">
          <cell r="F39">
            <v>3415505.22</v>
          </cell>
          <cell r="J39">
            <v>1695868.73</v>
          </cell>
        </row>
        <row r="40">
          <cell r="F40">
            <v>30410874.57</v>
          </cell>
          <cell r="J40">
            <v>23393924.68</v>
          </cell>
        </row>
        <row r="42">
          <cell r="F42">
            <v>23449014.6</v>
          </cell>
          <cell r="J42">
            <v>18048635.81</v>
          </cell>
        </row>
        <row r="43">
          <cell r="F43">
            <v>317034925.53</v>
          </cell>
          <cell r="J43">
            <v>251140039.42</v>
          </cell>
        </row>
        <row r="44">
          <cell r="F44">
            <v>34235650.05</v>
          </cell>
          <cell r="J44">
            <v>24217092.44</v>
          </cell>
        </row>
        <row r="45">
          <cell r="F45">
            <v>0</v>
          </cell>
          <cell r="J45">
            <v>0</v>
          </cell>
        </row>
        <row r="47">
          <cell r="F47">
            <v>116442.4</v>
          </cell>
          <cell r="J47">
            <v>81448.2</v>
          </cell>
        </row>
        <row r="48">
          <cell r="F48">
            <v>253239878.83</v>
          </cell>
          <cell r="J48">
            <v>194276310.24</v>
          </cell>
        </row>
        <row r="50">
          <cell r="F50">
            <v>15110000</v>
          </cell>
          <cell r="J50">
            <v>8706792.09</v>
          </cell>
        </row>
        <row r="51">
          <cell r="F51">
            <v>66337949.57</v>
          </cell>
          <cell r="J51">
            <v>50850402.24</v>
          </cell>
        </row>
        <row r="52">
          <cell r="F52">
            <v>609253998.36</v>
          </cell>
          <cell r="J52">
            <v>449092887.32</v>
          </cell>
        </row>
        <row r="53">
          <cell r="F53">
            <v>4132093.2</v>
          </cell>
          <cell r="J53">
            <v>2332941.92</v>
          </cell>
        </row>
        <row r="54">
          <cell r="F54">
            <v>827944.06</v>
          </cell>
          <cell r="J54">
            <v>639340.85</v>
          </cell>
        </row>
        <row r="55">
          <cell r="F55">
            <v>23309242.66</v>
          </cell>
          <cell r="J55">
            <v>18535254.72</v>
          </cell>
        </row>
        <row r="56">
          <cell r="F56">
            <v>5280</v>
          </cell>
          <cell r="J56">
            <v>5280</v>
          </cell>
        </row>
        <row r="59">
          <cell r="F59">
            <v>106475</v>
          </cell>
          <cell r="J59">
            <v>17600</v>
          </cell>
        </row>
        <row r="65">
          <cell r="F65">
            <v>421554769.8</v>
          </cell>
          <cell r="J65">
            <v>326405161.3</v>
          </cell>
        </row>
        <row r="66">
          <cell r="F66">
            <v>168605832.27</v>
          </cell>
          <cell r="J66">
            <v>108918645.3</v>
          </cell>
        </row>
        <row r="67">
          <cell r="F67">
            <v>8107462.43</v>
          </cell>
          <cell r="J67">
            <v>5457802.9</v>
          </cell>
        </row>
        <row r="68">
          <cell r="F68">
            <v>11652065.2</v>
          </cell>
          <cell r="J68">
            <v>6761187.22</v>
          </cell>
        </row>
        <row r="73">
          <cell r="F73">
            <v>34734931.26</v>
          </cell>
          <cell r="J73">
            <v>20499625.8</v>
          </cell>
        </row>
        <row r="74">
          <cell r="F74">
            <v>11249345.08</v>
          </cell>
          <cell r="J74">
            <v>11171421.3</v>
          </cell>
        </row>
        <row r="76">
          <cell r="F76">
            <v>0</v>
          </cell>
          <cell r="J76">
            <v>0</v>
          </cell>
        </row>
        <row r="77">
          <cell r="F77">
            <v>16881606.78</v>
          </cell>
          <cell r="J77">
            <v>16472508.8</v>
          </cell>
        </row>
        <row r="78">
          <cell r="F78">
            <v>933504.74</v>
          </cell>
          <cell r="J78">
            <v>169520</v>
          </cell>
        </row>
        <row r="80">
          <cell r="F80">
            <v>2201811.55</v>
          </cell>
          <cell r="J80">
            <v>1623449.62</v>
          </cell>
        </row>
        <row r="81">
          <cell r="F81">
            <v>2497811.78</v>
          </cell>
          <cell r="J81">
            <v>2048444.4</v>
          </cell>
        </row>
        <row r="82">
          <cell r="F82">
            <v>0</v>
          </cell>
          <cell r="J82">
            <v>0</v>
          </cell>
        </row>
        <row r="83">
          <cell r="F83">
            <v>269120295.96</v>
          </cell>
          <cell r="J83">
            <v>213533066.4</v>
          </cell>
        </row>
        <row r="84">
          <cell r="F84">
            <v>68258251.11</v>
          </cell>
          <cell r="J84">
            <v>21584685.63</v>
          </cell>
        </row>
        <row r="86">
          <cell r="F86">
            <v>271872.78</v>
          </cell>
          <cell r="J86">
            <v>271872.78</v>
          </cell>
        </row>
        <row r="87">
          <cell r="F87">
            <v>31150</v>
          </cell>
          <cell r="J87">
            <v>31149.96</v>
          </cell>
        </row>
        <row r="89">
          <cell r="F89">
            <v>904876.51</v>
          </cell>
          <cell r="J89">
            <v>208427.09</v>
          </cell>
        </row>
        <row r="91">
          <cell r="F91">
            <v>164247120.28</v>
          </cell>
          <cell r="J91">
            <v>136815535.37</v>
          </cell>
        </row>
        <row r="92">
          <cell r="F92">
            <v>110782037.25</v>
          </cell>
          <cell r="J92">
            <v>73730979.19</v>
          </cell>
        </row>
        <row r="96">
          <cell r="F96">
            <v>133550.16</v>
          </cell>
          <cell r="J96">
            <v>56530</v>
          </cell>
        </row>
        <row r="99">
          <cell r="F99">
            <v>2773098.52</v>
          </cell>
          <cell r="J99">
            <v>1651853.19</v>
          </cell>
        </row>
        <row r="101">
          <cell r="F101">
            <v>2844251.29</v>
          </cell>
          <cell r="J101">
            <v>2327495.09</v>
          </cell>
        </row>
        <row r="105">
          <cell r="F105">
            <v>236911</v>
          </cell>
          <cell r="J105">
            <v>59245.32</v>
          </cell>
        </row>
        <row r="107">
          <cell r="F107">
            <v>19745000</v>
          </cell>
          <cell r="J107">
            <v>18909097.68</v>
          </cell>
        </row>
        <row r="111">
          <cell r="F111">
            <v>21710872.9</v>
          </cell>
          <cell r="J111">
            <v>13364875.64</v>
          </cell>
        </row>
        <row r="114">
          <cell r="F114">
            <v>3104997.85</v>
          </cell>
          <cell r="J114">
            <v>2787399.99</v>
          </cell>
        </row>
        <row r="117">
          <cell r="F117">
            <v>26080935.37</v>
          </cell>
          <cell r="J117">
            <v>15930525.8</v>
          </cell>
        </row>
        <row r="118">
          <cell r="F118">
            <v>50340776.07</v>
          </cell>
          <cell r="J118">
            <v>37832658.24</v>
          </cell>
        </row>
        <row r="119">
          <cell r="F119">
            <v>25882127.33</v>
          </cell>
          <cell r="J119">
            <v>23679538.2</v>
          </cell>
        </row>
        <row r="124">
          <cell r="F124">
            <v>71224592</v>
          </cell>
          <cell r="J124">
            <v>48494770.7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II _ RPPS"/>
      <sheetName val="Anexo XIV _ AL ATIVOS"/>
      <sheetName val="Anexo XVI _ SAÚDE "/>
      <sheetName val="Anexo XVII _ Simplificado"/>
    </sheetNames>
    <sheetDataSet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VII _ Simplificado"/>
    </sheetNames>
    <sheetDataSet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103"/>
  <sheetViews>
    <sheetView showGridLines="0" zoomScaleSheetLayoutView="100" workbookViewId="0" topLeftCell="A1">
      <selection activeCell="A5" sqref="A5"/>
    </sheetView>
  </sheetViews>
  <sheetFormatPr defaultColWidth="6.140625" defaultRowHeight="15.75" customHeight="1"/>
  <cols>
    <col min="1" max="1" width="45.140625" style="12" customWidth="1"/>
    <col min="2" max="2" width="20.421875" style="2" customWidth="1"/>
    <col min="3" max="3" width="20.140625" style="2" customWidth="1"/>
    <col min="4" max="5" width="19.57421875" style="2" customWidth="1"/>
    <col min="6" max="6" width="19.8515625" style="2" customWidth="1"/>
    <col min="7" max="7" width="17.7109375" style="2" customWidth="1"/>
    <col min="8" max="8" width="20.421875" style="2" customWidth="1"/>
    <col min="9" max="9" width="20.7109375" style="2" customWidth="1"/>
    <col min="10" max="10" width="19.7109375" style="2" customWidth="1"/>
    <col min="11" max="11" width="21.7109375" style="2" customWidth="1"/>
    <col min="12" max="12" width="18.57421875" style="1" bestFit="1" customWidth="1"/>
    <col min="13" max="13" width="32.7109375" style="3" bestFit="1" customWidth="1"/>
    <col min="14" max="15" width="17.140625" style="3" customWidth="1"/>
    <col min="16" max="17" width="4.00390625" style="1" customWidth="1"/>
    <col min="18" max="18" width="12.00390625" style="1" customWidth="1"/>
    <col min="19" max="16384" width="6.140625" style="1" customWidth="1"/>
  </cols>
  <sheetData>
    <row r="1" spans="1:17" ht="15">
      <c r="A1" s="861" t="s">
        <v>436</v>
      </c>
      <c r="B1" s="860"/>
      <c r="C1" s="860"/>
      <c r="D1" s="860"/>
      <c r="E1" s="860"/>
      <c r="F1" s="860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2" ht="18.75" customHeight="1">
      <c r="A2" s="861" t="s">
        <v>437</v>
      </c>
      <c r="B2" s="861"/>
      <c r="C2" s="861"/>
      <c r="D2" s="861"/>
      <c r="E2" s="861"/>
      <c r="F2" s="862"/>
      <c r="G2" s="1593"/>
      <c r="H2" s="1593"/>
      <c r="I2" s="4"/>
      <c r="J2" s="7"/>
      <c r="K2" s="7"/>
      <c r="L2" s="5"/>
    </row>
    <row r="3" spans="1:12" ht="18.75" customHeight="1">
      <c r="A3" s="863" t="s">
        <v>600</v>
      </c>
      <c r="B3" s="863"/>
      <c r="C3" s="863"/>
      <c r="D3" s="863"/>
      <c r="E3" s="863"/>
      <c r="F3" s="862"/>
      <c r="G3" s="232"/>
      <c r="H3" s="232"/>
      <c r="I3" s="232"/>
      <c r="J3" s="232"/>
      <c r="K3" s="232"/>
      <c r="L3" s="5"/>
    </row>
    <row r="4" spans="1:12" ht="18.75" customHeight="1">
      <c r="A4" s="864" t="s">
        <v>438</v>
      </c>
      <c r="B4" s="864"/>
      <c r="C4" s="864"/>
      <c r="D4" s="864"/>
      <c r="E4" s="864"/>
      <c r="F4" s="865"/>
      <c r="G4" s="6"/>
      <c r="H4" s="71"/>
      <c r="I4" s="72"/>
      <c r="J4" s="72"/>
      <c r="K4" s="73"/>
      <c r="L4" s="5"/>
    </row>
    <row r="5" spans="1:12" ht="18.75" customHeight="1">
      <c r="A5" s="867" t="s">
        <v>951</v>
      </c>
      <c r="B5" s="866"/>
      <c r="C5" s="866"/>
      <c r="D5" s="866"/>
      <c r="E5" s="866"/>
      <c r="F5" s="866"/>
      <c r="G5" s="6"/>
      <c r="H5" s="69"/>
      <c r="I5" s="69"/>
      <c r="J5" s="7"/>
      <c r="K5" s="7"/>
      <c r="L5" s="5"/>
    </row>
    <row r="6" spans="1:12" ht="18.75" customHeight="1">
      <c r="A6" s="228"/>
      <c r="B6" s="228"/>
      <c r="C6" s="228"/>
      <c r="D6" s="228"/>
      <c r="E6" s="228"/>
      <c r="F6" s="228"/>
      <c r="G6" s="6"/>
      <c r="H6" s="69"/>
      <c r="I6" s="1410"/>
      <c r="J6" s="7"/>
      <c r="K6" s="7"/>
      <c r="L6" s="5"/>
    </row>
    <row r="7" spans="1:12" ht="18.75" customHeight="1">
      <c r="A7" s="235" t="s">
        <v>432</v>
      </c>
      <c r="B7" s="229"/>
      <c r="C7" s="229"/>
      <c r="D7" s="229"/>
      <c r="E7" s="229"/>
      <c r="F7" s="229"/>
      <c r="G7" s="6"/>
      <c r="H7" s="60"/>
      <c r="I7" s="8"/>
      <c r="J7" s="9"/>
      <c r="K7" s="10"/>
      <c r="L7" s="57"/>
    </row>
    <row r="8" spans="1:12" ht="15">
      <c r="A8" s="1559" t="s">
        <v>2</v>
      </c>
      <c r="B8" s="1547" t="s">
        <v>3</v>
      </c>
      <c r="C8" s="1547" t="s">
        <v>426</v>
      </c>
      <c r="D8" s="1549" t="s">
        <v>4</v>
      </c>
      <c r="E8" s="1550"/>
      <c r="F8" s="1550"/>
      <c r="G8" s="1550"/>
      <c r="H8" s="1550"/>
      <c r="I8" s="1550"/>
      <c r="J8" s="1551"/>
      <c r="K8" s="1545" t="s">
        <v>526</v>
      </c>
      <c r="L8" s="5"/>
    </row>
    <row r="9" spans="1:12" ht="30">
      <c r="A9" s="1560"/>
      <c r="B9" s="1548"/>
      <c r="C9" s="1548"/>
      <c r="D9" s="1552" t="s">
        <v>428</v>
      </c>
      <c r="E9" s="1552"/>
      <c r="F9" s="159" t="s">
        <v>429</v>
      </c>
      <c r="G9" s="1583" t="s">
        <v>430</v>
      </c>
      <c r="H9" s="1583"/>
      <c r="I9" s="1583"/>
      <c r="J9" s="160" t="s">
        <v>431</v>
      </c>
      <c r="K9" s="1546"/>
      <c r="L9" s="5"/>
    </row>
    <row r="10" spans="1:15" s="129" customFormat="1" ht="24" customHeight="1">
      <c r="A10" s="1408" t="s">
        <v>370</v>
      </c>
      <c r="B10" s="161">
        <f>B11+B36</f>
        <v>3407444848.0199995</v>
      </c>
      <c r="C10" s="1199">
        <f>C11+C36</f>
        <v>3773179098.4900002</v>
      </c>
      <c r="D10" s="1588">
        <f>D11+D36</f>
        <v>745351873.7800002</v>
      </c>
      <c r="E10" s="1589"/>
      <c r="F10" s="162">
        <f>D10/C10*100</f>
        <v>19.75394897311619</v>
      </c>
      <c r="G10" s="1590">
        <f>G11+G36</f>
        <v>3578496519.16</v>
      </c>
      <c r="H10" s="1590"/>
      <c r="I10" s="1590"/>
      <c r="J10" s="163">
        <f>G10/C10*100</f>
        <v>94.84035678539853</v>
      </c>
      <c r="K10" s="1011">
        <f>K11+K36</f>
        <v>194682579.32999974</v>
      </c>
      <c r="L10" s="164"/>
      <c r="M10" s="165"/>
      <c r="N10" s="166"/>
      <c r="O10" s="166"/>
    </row>
    <row r="11" spans="1:15" s="120" customFormat="1" ht="18.75" customHeight="1">
      <c r="A11" s="1007" t="s">
        <v>6</v>
      </c>
      <c r="B11" s="167">
        <f>B12+B15+B18+B22+B25+B30</f>
        <v>3259442504.1099997</v>
      </c>
      <c r="C11" s="1200">
        <f>C12+C15+C18+C22+C25+C30</f>
        <v>3534104973.28</v>
      </c>
      <c r="D11" s="1591">
        <f>D12+D15+D18+D22+D25+D30</f>
        <v>624134378.8300002</v>
      </c>
      <c r="E11" s="1591">
        <f>E12+E15+E18+E22+E25+E30</f>
        <v>0</v>
      </c>
      <c r="F11" s="168">
        <f>D11/C11*100</f>
        <v>17.660323718419193</v>
      </c>
      <c r="G11" s="1591">
        <f>G12+G15+G18+G22+G25+G30</f>
        <v>3344354131.54</v>
      </c>
      <c r="H11" s="1591"/>
      <c r="I11" s="1591"/>
      <c r="J11" s="167">
        <f>G11/C11*100</f>
        <v>94.63086571636573</v>
      </c>
      <c r="K11" s="1012">
        <f>K12+K15+K18+K22+K25+K30</f>
        <v>189750841.73999974</v>
      </c>
      <c r="L11" s="169"/>
      <c r="M11" s="101"/>
      <c r="N11" s="101"/>
      <c r="O11" s="101"/>
    </row>
    <row r="12" spans="1:15" s="120" customFormat="1" ht="18.75" customHeight="1">
      <c r="A12" s="1411" t="s">
        <v>603</v>
      </c>
      <c r="B12" s="170">
        <f>B13+B14</f>
        <v>891762815</v>
      </c>
      <c r="C12" s="167">
        <f>C13+C14</f>
        <v>891762815</v>
      </c>
      <c r="D12" s="1579">
        <f>D13+D14</f>
        <v>179501581.44000012</v>
      </c>
      <c r="E12" s="1579"/>
      <c r="F12" s="168">
        <f>D12/C12*100</f>
        <v>20.12884798745506</v>
      </c>
      <c r="G12" s="1558">
        <f>G13+G14</f>
        <v>862132190.64</v>
      </c>
      <c r="H12" s="1558"/>
      <c r="I12" s="1558"/>
      <c r="J12" s="167">
        <f>G12/C12*100</f>
        <v>96.67729761080024</v>
      </c>
      <c r="K12" s="1013">
        <f>K13+K14</f>
        <v>29630624.35999997</v>
      </c>
      <c r="L12" s="171"/>
      <c r="M12" s="101"/>
      <c r="N12" s="101"/>
      <c r="O12" s="101"/>
    </row>
    <row r="13" spans="1:15" s="102" customFormat="1" ht="18.75" customHeight="1">
      <c r="A13" s="1009" t="s">
        <v>7</v>
      </c>
      <c r="B13" s="172">
        <v>865158262</v>
      </c>
      <c r="C13" s="172">
        <f>B13</f>
        <v>865158262</v>
      </c>
      <c r="D13" s="1556">
        <f>G13-'[19]Anexo 1 _ BAL ORC'!G13</f>
        <v>175959100.8800001</v>
      </c>
      <c r="E13" s="1557"/>
      <c r="F13" s="173">
        <f>D13/C13*100</f>
        <v>20.338371441224254</v>
      </c>
      <c r="G13" s="1569">
        <f>841151442.61-49153.64</f>
        <v>841102288.97</v>
      </c>
      <c r="H13" s="1569"/>
      <c r="I13" s="1569"/>
      <c r="J13" s="172">
        <f>G13/C13*100</f>
        <v>97.21947138614969</v>
      </c>
      <c r="K13" s="1014">
        <f>C13-G13</f>
        <v>24055973.02999997</v>
      </c>
      <c r="L13" s="174"/>
      <c r="M13" s="116"/>
      <c r="N13" s="97"/>
      <c r="O13" s="97"/>
    </row>
    <row r="14" spans="1:15" s="102" customFormat="1" ht="18.75" customHeight="1">
      <c r="A14" s="1009" t="s">
        <v>8</v>
      </c>
      <c r="B14" s="172">
        <v>26604553</v>
      </c>
      <c r="C14" s="175">
        <f>B14</f>
        <v>26604553</v>
      </c>
      <c r="D14" s="1556">
        <f>G14-'[19]Anexo 1 _ BAL ORC'!G14</f>
        <v>3542480.5600000024</v>
      </c>
      <c r="E14" s="1557"/>
      <c r="F14" s="173">
        <f>D14/C14*100</f>
        <v>13.315316968490325</v>
      </c>
      <c r="G14" s="1569">
        <f>21066280.3-36378.63</f>
        <v>21029901.67</v>
      </c>
      <c r="H14" s="1569"/>
      <c r="I14" s="1569"/>
      <c r="J14" s="172">
        <f>G14/C14*100</f>
        <v>79.0462507300912</v>
      </c>
      <c r="K14" s="1014">
        <f>C14-G14</f>
        <v>5574651.329999998</v>
      </c>
      <c r="L14" s="176"/>
      <c r="M14" s="97"/>
      <c r="N14" s="97"/>
      <c r="O14" s="97"/>
    </row>
    <row r="15" spans="1:15" s="120" customFormat="1" ht="18.75" customHeight="1">
      <c r="A15" s="1008" t="s">
        <v>527</v>
      </c>
      <c r="B15" s="167">
        <f>B16+B17</f>
        <v>181496747</v>
      </c>
      <c r="C15" s="167">
        <f>C16+C17</f>
        <v>181496747</v>
      </c>
      <c r="D15" s="1586">
        <f>D16+D17</f>
        <v>29391452.97</v>
      </c>
      <c r="E15" s="1585"/>
      <c r="F15" s="168">
        <f aca="true" t="shared" si="0" ref="F15:F20">D15/C15*100</f>
        <v>16.193928241589916</v>
      </c>
      <c r="G15" s="1558">
        <f>G16+G17</f>
        <v>142860532.64</v>
      </c>
      <c r="H15" s="1558"/>
      <c r="I15" s="1558"/>
      <c r="J15" s="167">
        <f aca="true" t="shared" si="1" ref="J15:J20">G15/C15*100</f>
        <v>78.71244801979839</v>
      </c>
      <c r="K15" s="1013">
        <f>K16+K17</f>
        <v>38636214.36</v>
      </c>
      <c r="L15" s="178"/>
      <c r="M15" s="101"/>
      <c r="N15" s="101"/>
      <c r="O15" s="101"/>
    </row>
    <row r="16" spans="1:15" s="102" customFormat="1" ht="18.75" customHeight="1">
      <c r="A16" s="1009" t="s">
        <v>10</v>
      </c>
      <c r="B16" s="172">
        <v>93238495</v>
      </c>
      <c r="C16" s="172">
        <f>B16</f>
        <v>93238495</v>
      </c>
      <c r="D16" s="1556">
        <f>G16-'[19]Anexo 1 _ BAL ORC'!G16</f>
        <v>16756093.700000003</v>
      </c>
      <c r="E16" s="1557"/>
      <c r="F16" s="173">
        <f t="shared" si="0"/>
        <v>17.9712185401534</v>
      </c>
      <c r="G16" s="1569">
        <v>72462592.12</v>
      </c>
      <c r="H16" s="1569"/>
      <c r="I16" s="1569"/>
      <c r="J16" s="172">
        <f t="shared" si="1"/>
        <v>77.71746221343449</v>
      </c>
      <c r="K16" s="1014">
        <f>C16-G16</f>
        <v>20775902.879999995</v>
      </c>
      <c r="L16" s="176"/>
      <c r="M16" s="97"/>
      <c r="N16" s="97"/>
      <c r="O16" s="97"/>
    </row>
    <row r="17" spans="1:15" s="102" customFormat="1" ht="18.75" customHeight="1">
      <c r="A17" s="1009" t="s">
        <v>740</v>
      </c>
      <c r="B17" s="172">
        <v>88258252</v>
      </c>
      <c r="C17" s="172">
        <f>B17</f>
        <v>88258252</v>
      </c>
      <c r="D17" s="1556">
        <f>G17-'[19]Anexo 1 _ BAL ORC'!G17</f>
        <v>12635359.269999996</v>
      </c>
      <c r="E17" s="1557"/>
      <c r="F17" s="173">
        <f t="shared" si="0"/>
        <v>14.316348878062978</v>
      </c>
      <c r="G17" s="1569">
        <v>70397940.52</v>
      </c>
      <c r="H17" s="1569"/>
      <c r="I17" s="1569"/>
      <c r="J17" s="172">
        <f t="shared" si="1"/>
        <v>79.76357895690025</v>
      </c>
      <c r="K17" s="1014">
        <f>C17-G17</f>
        <v>17860311.480000004</v>
      </c>
      <c r="L17" s="176"/>
      <c r="M17" s="97"/>
      <c r="N17" s="97"/>
      <c r="O17" s="97"/>
    </row>
    <row r="18" spans="1:15" s="120" customFormat="1" ht="18.75" customHeight="1">
      <c r="A18" s="1008" t="s">
        <v>11</v>
      </c>
      <c r="B18" s="167">
        <f>B19+B20+B21</f>
        <v>83714315</v>
      </c>
      <c r="C18" s="167">
        <f>C19+C20+C21</f>
        <v>143714315</v>
      </c>
      <c r="D18" s="1564">
        <f>SUM(D19:D21)</f>
        <v>15584500.729999999</v>
      </c>
      <c r="E18" s="1565"/>
      <c r="F18" s="168">
        <f t="shared" si="0"/>
        <v>10.844083785251316</v>
      </c>
      <c r="G18" s="1558">
        <f>SUM(G19:G21)</f>
        <v>103372310</v>
      </c>
      <c r="H18" s="1558"/>
      <c r="I18" s="1558"/>
      <c r="J18" s="167">
        <f t="shared" si="1"/>
        <v>71.92902808603304</v>
      </c>
      <c r="K18" s="1013">
        <f>SUM(K19:K21)</f>
        <v>40342005</v>
      </c>
      <c r="L18" s="178"/>
      <c r="M18" s="101"/>
      <c r="N18" s="101"/>
      <c r="O18" s="101"/>
    </row>
    <row r="19" spans="1:15" s="102" customFormat="1" ht="18.75" customHeight="1">
      <c r="A19" s="1009" t="s">
        <v>666</v>
      </c>
      <c r="B19" s="172">
        <v>1059795</v>
      </c>
      <c r="C19" s="172">
        <f>B19</f>
        <v>1059795</v>
      </c>
      <c r="D19" s="1556">
        <f>G19-'[19]Anexo 1 _ BAL ORC'!G19</f>
        <v>108188.34999999998</v>
      </c>
      <c r="E19" s="1557"/>
      <c r="F19" s="173">
        <f t="shared" si="0"/>
        <v>10.20842238357418</v>
      </c>
      <c r="G19" s="1569">
        <v>480380.54</v>
      </c>
      <c r="H19" s="1569"/>
      <c r="I19" s="1569"/>
      <c r="J19" s="172">
        <f t="shared" si="1"/>
        <v>45.32768507116942</v>
      </c>
      <c r="K19" s="1014">
        <f>C19-G19</f>
        <v>579414.46</v>
      </c>
      <c r="L19" s="176"/>
      <c r="M19" s="97"/>
      <c r="N19" s="97"/>
      <c r="O19" s="97"/>
    </row>
    <row r="20" spans="1:15" s="102" customFormat="1" ht="18.75" customHeight="1">
      <c r="A20" s="1009" t="s">
        <v>667</v>
      </c>
      <c r="B20" s="172">
        <v>54686791</v>
      </c>
      <c r="C20" s="172">
        <f>B20</f>
        <v>54686791</v>
      </c>
      <c r="D20" s="1556">
        <f>G20-'[19]Anexo 1 _ BAL ORC'!G20</f>
        <v>15475532.379999999</v>
      </c>
      <c r="E20" s="1557"/>
      <c r="F20" s="173">
        <f t="shared" si="0"/>
        <v>28.29848322970715</v>
      </c>
      <c r="G20" s="1569">
        <v>42863324.51</v>
      </c>
      <c r="H20" s="1569"/>
      <c r="I20" s="1569"/>
      <c r="J20" s="172">
        <f t="shared" si="1"/>
        <v>78.37966669135879</v>
      </c>
      <c r="K20" s="1014">
        <f>C20-G20</f>
        <v>11823466.490000002</v>
      </c>
      <c r="L20" s="174"/>
      <c r="M20" s="97"/>
      <c r="N20" s="97"/>
      <c r="O20" s="97"/>
    </row>
    <row r="21" spans="1:15" s="102" customFormat="1" ht="18.75" customHeight="1">
      <c r="A21" s="1009" t="s">
        <v>528</v>
      </c>
      <c r="B21" s="177">
        <v>27967729</v>
      </c>
      <c r="C21" s="172">
        <f>B21+60000000</f>
        <v>87967729</v>
      </c>
      <c r="D21" s="1556">
        <f>G21-'[19]Anexo 1 _ BAL ORC'!G21</f>
        <v>780</v>
      </c>
      <c r="E21" s="1557"/>
      <c r="F21" s="173">
        <f aca="true" t="shared" si="2" ref="F21:F31">D21/C21*100</f>
        <v>0.000886688799252735</v>
      </c>
      <c r="G21" s="1569">
        <f>28604.95+60000000</f>
        <v>60028604.95</v>
      </c>
      <c r="H21" s="1569"/>
      <c r="I21" s="1569"/>
      <c r="J21" s="172">
        <f aca="true" t="shared" si="3" ref="J21:J31">G21/C21*100</f>
        <v>68.23934826145165</v>
      </c>
      <c r="K21" s="1014">
        <f aca="true" t="shared" si="4" ref="K21:K31">C21-G21</f>
        <v>27939124.049999997</v>
      </c>
      <c r="L21" s="179"/>
      <c r="M21" s="97"/>
      <c r="N21" s="97"/>
      <c r="O21" s="97"/>
    </row>
    <row r="22" spans="1:15" s="120" customFormat="1" ht="18.75" customHeight="1">
      <c r="A22" s="1008" t="s">
        <v>15</v>
      </c>
      <c r="B22" s="167">
        <f>B23+B24</f>
        <v>427677</v>
      </c>
      <c r="C22" s="167">
        <f>C23+C24</f>
        <v>427677</v>
      </c>
      <c r="D22" s="1579">
        <f>D23+D24</f>
        <v>0</v>
      </c>
      <c r="E22" s="1579"/>
      <c r="F22" s="168">
        <f t="shared" si="2"/>
        <v>0</v>
      </c>
      <c r="G22" s="1558">
        <f>G23+G24</f>
        <v>0</v>
      </c>
      <c r="H22" s="1558"/>
      <c r="I22" s="1558"/>
      <c r="J22" s="167">
        <f t="shared" si="3"/>
        <v>0</v>
      </c>
      <c r="K22" s="1013">
        <f>K23+K24</f>
        <v>427677</v>
      </c>
      <c r="L22" s="178"/>
      <c r="M22" s="101"/>
      <c r="N22" s="101"/>
      <c r="O22" s="101"/>
    </row>
    <row r="23" spans="1:15" s="102" customFormat="1" ht="18.75" customHeight="1">
      <c r="A23" s="1149" t="s">
        <v>661</v>
      </c>
      <c r="B23" s="172">
        <v>90424</v>
      </c>
      <c r="C23" s="172">
        <f>B23</f>
        <v>90424</v>
      </c>
      <c r="D23" s="1556">
        <f>G23-'[19]Anexo 1 _ BAL ORC'!G23</f>
        <v>0</v>
      </c>
      <c r="E23" s="1557"/>
      <c r="F23" s="173">
        <f t="shared" si="2"/>
        <v>0</v>
      </c>
      <c r="G23" s="1569">
        <v>0</v>
      </c>
      <c r="H23" s="1569"/>
      <c r="I23" s="1569"/>
      <c r="J23" s="167">
        <f t="shared" si="3"/>
        <v>0</v>
      </c>
      <c r="K23" s="1014">
        <f t="shared" si="4"/>
        <v>90424</v>
      </c>
      <c r="L23" s="176"/>
      <c r="M23" s="97"/>
      <c r="N23" s="97"/>
      <c r="O23" s="97"/>
    </row>
    <row r="24" spans="1:15" s="102" customFormat="1" ht="18.75" customHeight="1">
      <c r="A24" s="1009" t="s">
        <v>662</v>
      </c>
      <c r="B24" s="172">
        <v>337253</v>
      </c>
      <c r="C24" s="172">
        <f>B24</f>
        <v>337253</v>
      </c>
      <c r="D24" s="1556">
        <f>G24-'[19]Anexo 1 _ BAL ORC'!G24</f>
        <v>0</v>
      </c>
      <c r="E24" s="1557"/>
      <c r="F24" s="173">
        <f t="shared" si="2"/>
        <v>0</v>
      </c>
      <c r="G24" s="1569">
        <v>0</v>
      </c>
      <c r="H24" s="1569"/>
      <c r="I24" s="1569"/>
      <c r="J24" s="172">
        <f t="shared" si="3"/>
        <v>0</v>
      </c>
      <c r="K24" s="1014">
        <f t="shared" si="4"/>
        <v>337253</v>
      </c>
      <c r="L24" s="176"/>
      <c r="M24" s="97"/>
      <c r="N24" s="97"/>
      <c r="O24" s="97"/>
    </row>
    <row r="25" spans="1:15" s="120" customFormat="1" ht="18.75" customHeight="1">
      <c r="A25" s="1008" t="s">
        <v>17</v>
      </c>
      <c r="B25" s="167">
        <f>B26+B27+B28+B29</f>
        <v>1936461950.57</v>
      </c>
      <c r="C25" s="1200">
        <f>C26+C27+C28+C29</f>
        <v>2150930356.55</v>
      </c>
      <c r="D25" s="1579">
        <f>D26+D27+D28+D29</f>
        <v>389595638.44000006</v>
      </c>
      <c r="E25" s="1579"/>
      <c r="F25" s="168">
        <f t="shared" si="2"/>
        <v>18.11288948773287</v>
      </c>
      <c r="G25" s="1558">
        <f>SUM(G26:G29)</f>
        <v>2193930179.02</v>
      </c>
      <c r="H25" s="1558"/>
      <c r="I25" s="1558"/>
      <c r="J25" s="167">
        <f t="shared" si="3"/>
        <v>101.99912667274684</v>
      </c>
      <c r="K25" s="1013">
        <f>SUM(K26:K29)</f>
        <v>-42999822.47000021</v>
      </c>
      <c r="L25" s="180"/>
      <c r="M25" s="181"/>
      <c r="N25" s="101"/>
      <c r="O25" s="101"/>
    </row>
    <row r="26" spans="1:15" s="102" customFormat="1" ht="18.75" customHeight="1">
      <c r="A26" s="1009" t="s">
        <v>668</v>
      </c>
      <c r="B26" s="172">
        <f>1134959018.57-103921011</f>
        <v>1031038007.5699999</v>
      </c>
      <c r="C26" s="1202">
        <f>1289308436.37-103921011</f>
        <v>1185387425.37</v>
      </c>
      <c r="D26" s="1556">
        <f>G26-'[19]Anexo 1 _ BAL ORC'!G26</f>
        <v>220849677.10000002</v>
      </c>
      <c r="E26" s="1557"/>
      <c r="F26" s="173">
        <f t="shared" si="2"/>
        <v>18.631012306467255</v>
      </c>
      <c r="G26" s="1569">
        <f>1309480994.56-104684846.55</f>
        <v>1204796148.01</v>
      </c>
      <c r="H26" s="1569"/>
      <c r="I26" s="1569"/>
      <c r="J26" s="172">
        <f t="shared" si="3"/>
        <v>101.63733157823418</v>
      </c>
      <c r="K26" s="1014">
        <f t="shared" si="4"/>
        <v>-19408722.640000105</v>
      </c>
      <c r="L26" s="182"/>
      <c r="M26" s="173"/>
      <c r="N26" s="97"/>
      <c r="O26" s="97"/>
    </row>
    <row r="27" spans="1:15" s="102" customFormat="1" ht="18.75" customHeight="1">
      <c r="A27" s="1201" t="s">
        <v>671</v>
      </c>
      <c r="B27" s="172">
        <f>691853180-136699316</f>
        <v>555153864</v>
      </c>
      <c r="C27" s="172">
        <f>731315914.65-136699316</f>
        <v>594616598.65</v>
      </c>
      <c r="D27" s="1556">
        <f>G27-'[19]Anexo 1 _ BAL ORC'!G27</f>
        <v>106327053.46000004</v>
      </c>
      <c r="E27" s="1557"/>
      <c r="F27" s="173">
        <f t="shared" si="2"/>
        <v>17.88161543108649</v>
      </c>
      <c r="G27" s="1569">
        <f>739243627.6-146677391.64</f>
        <v>592566235.96</v>
      </c>
      <c r="H27" s="1569"/>
      <c r="I27" s="1569"/>
      <c r="J27" s="172">
        <f t="shared" si="3"/>
        <v>99.65517903559117</v>
      </c>
      <c r="K27" s="1014">
        <f t="shared" si="4"/>
        <v>2050362.689999938</v>
      </c>
      <c r="L27" s="182"/>
      <c r="M27" s="183"/>
      <c r="N27" s="97"/>
      <c r="O27" s="97"/>
    </row>
    <row r="28" spans="1:15" s="102" customFormat="1" ht="18.75" customHeight="1">
      <c r="A28" s="1009" t="s">
        <v>670</v>
      </c>
      <c r="B28" s="172">
        <v>895544</v>
      </c>
      <c r="C28" s="172">
        <v>1172964</v>
      </c>
      <c r="D28" s="1556">
        <f>G28-'[19]Anexo 1 _ BAL ORC'!G28</f>
        <v>0</v>
      </c>
      <c r="E28" s="1557"/>
      <c r="F28" s="173">
        <f t="shared" si="2"/>
        <v>0</v>
      </c>
      <c r="G28" s="1569">
        <v>277420</v>
      </c>
      <c r="H28" s="1569"/>
      <c r="I28" s="1569"/>
      <c r="J28" s="172">
        <f t="shared" si="3"/>
        <v>23.651194751075057</v>
      </c>
      <c r="K28" s="1014">
        <f t="shared" si="4"/>
        <v>895544</v>
      </c>
      <c r="L28" s="182"/>
      <c r="M28" s="183"/>
      <c r="N28" s="97"/>
      <c r="O28" s="97"/>
    </row>
    <row r="29" spans="1:15" s="102" customFormat="1" ht="18.75" customHeight="1">
      <c r="A29" s="1009" t="s">
        <v>669</v>
      </c>
      <c r="B29" s="172">
        <v>349374535</v>
      </c>
      <c r="C29" s="172">
        <v>369753368.53</v>
      </c>
      <c r="D29" s="1556">
        <f>G29-'[19]Anexo 1 _ BAL ORC'!G29</f>
        <v>62418907.879999995</v>
      </c>
      <c r="E29" s="1557"/>
      <c r="F29" s="173">
        <f t="shared" si="2"/>
        <v>16.88122764862266</v>
      </c>
      <c r="G29" s="1569">
        <v>396290375.05</v>
      </c>
      <c r="H29" s="1569"/>
      <c r="I29" s="1569"/>
      <c r="J29" s="172">
        <f t="shared" si="3"/>
        <v>107.17694787352477</v>
      </c>
      <c r="K29" s="1014">
        <f t="shared" si="4"/>
        <v>-26537006.52000004</v>
      </c>
      <c r="L29" s="182"/>
      <c r="M29" s="183"/>
      <c r="N29" s="97"/>
      <c r="O29" s="97"/>
    </row>
    <row r="30" spans="1:15" s="120" customFormat="1" ht="18.75" customHeight="1">
      <c r="A30" s="1008" t="s">
        <v>18</v>
      </c>
      <c r="B30" s="167">
        <f>B31+B32</f>
        <v>165578999.54</v>
      </c>
      <c r="C30" s="167">
        <f>C31+C32</f>
        <v>165773062.73</v>
      </c>
      <c r="D30" s="1584">
        <f>D31+D32</f>
        <v>10061205.249999994</v>
      </c>
      <c r="E30" s="1585"/>
      <c r="F30" s="168">
        <f>D30/C30*100</f>
        <v>6.0692642606157365</v>
      </c>
      <c r="G30" s="1558">
        <f>G31+G32</f>
        <v>42058919.239999995</v>
      </c>
      <c r="H30" s="1558"/>
      <c r="I30" s="1558"/>
      <c r="J30" s="167">
        <f t="shared" si="3"/>
        <v>25.371383352253517</v>
      </c>
      <c r="K30" s="1013">
        <f>K31+K32</f>
        <v>123714143.48999998</v>
      </c>
      <c r="L30" s="184"/>
      <c r="M30" s="70"/>
      <c r="N30" s="185"/>
      <c r="O30" s="185"/>
    </row>
    <row r="31" spans="1:15" s="102" customFormat="1" ht="18.75" customHeight="1">
      <c r="A31" s="1009" t="s">
        <v>672</v>
      </c>
      <c r="B31" s="172">
        <v>13674624</v>
      </c>
      <c r="C31" s="172">
        <f>B31</f>
        <v>13674624</v>
      </c>
      <c r="D31" s="1556">
        <f>G31-'[19]Anexo 1 _ BAL ORC'!G31</f>
        <v>2373985.58</v>
      </c>
      <c r="E31" s="1557"/>
      <c r="F31" s="173">
        <f t="shared" si="2"/>
        <v>17.360518139292168</v>
      </c>
      <c r="G31" s="1569">
        <v>13201196.57</v>
      </c>
      <c r="H31" s="1569"/>
      <c r="I31" s="1569"/>
      <c r="J31" s="172">
        <f t="shared" si="3"/>
        <v>96.53791263291774</v>
      </c>
      <c r="K31" s="1014">
        <f t="shared" si="4"/>
        <v>473427.4299999997</v>
      </c>
      <c r="L31" s="186"/>
      <c r="M31" s="168"/>
      <c r="N31" s="97"/>
      <c r="O31" s="97"/>
    </row>
    <row r="32" spans="1:15" s="102" customFormat="1" ht="18.75" customHeight="1">
      <c r="A32" s="1010" t="s">
        <v>673</v>
      </c>
      <c r="B32" s="187">
        <v>151904375.54</v>
      </c>
      <c r="C32" s="187">
        <v>152098438.73</v>
      </c>
      <c r="D32" s="1553">
        <f>G32-'[19]Anexo 1 _ BAL ORC'!G32</f>
        <v>7687219.669999994</v>
      </c>
      <c r="E32" s="1554"/>
      <c r="F32" s="188">
        <f>D32/C32*100</f>
        <v>5.054108203994182</v>
      </c>
      <c r="G32" s="1555">
        <f>24043216.47+4814506.2</f>
        <v>28857722.669999998</v>
      </c>
      <c r="H32" s="1555"/>
      <c r="I32" s="1555"/>
      <c r="J32" s="187">
        <f aca="true" t="shared" si="5" ref="J32:J40">G32/C32*100</f>
        <v>18.97305646984796</v>
      </c>
      <c r="K32" s="1015">
        <f>C32-G32</f>
        <v>123240716.05999999</v>
      </c>
      <c r="L32" s="190"/>
      <c r="M32" s="191"/>
      <c r="N32" s="191"/>
      <c r="O32" s="191"/>
    </row>
    <row r="33" spans="1:15" s="102" customFormat="1" ht="18.75" customHeight="1">
      <c r="A33" s="192"/>
      <c r="B33" s="173"/>
      <c r="C33" s="173"/>
      <c r="D33" s="193"/>
      <c r="E33" s="194"/>
      <c r="F33" s="173"/>
      <c r="G33" s="105"/>
      <c r="H33" s="105"/>
      <c r="I33" s="105"/>
      <c r="J33" s="173"/>
      <c r="K33" s="195"/>
      <c r="L33" s="196"/>
      <c r="M33" s="191"/>
      <c r="N33" s="191"/>
      <c r="O33" s="191"/>
    </row>
    <row r="34" spans="1:15" s="129" customFormat="1" ht="15">
      <c r="A34" s="1559" t="s">
        <v>2</v>
      </c>
      <c r="B34" s="1547" t="s">
        <v>3</v>
      </c>
      <c r="C34" s="1547" t="s">
        <v>426</v>
      </c>
      <c r="D34" s="1549" t="s">
        <v>4</v>
      </c>
      <c r="E34" s="1550"/>
      <c r="F34" s="1550"/>
      <c r="G34" s="1550"/>
      <c r="H34" s="1550"/>
      <c r="I34" s="1550"/>
      <c r="J34" s="1551"/>
      <c r="K34" s="1545" t="s">
        <v>427</v>
      </c>
      <c r="L34" s="197"/>
      <c r="M34" s="166"/>
      <c r="N34" s="166"/>
      <c r="O34" s="166"/>
    </row>
    <row r="35" spans="1:15" s="129" customFormat="1" ht="30">
      <c r="A35" s="1560"/>
      <c r="B35" s="1548"/>
      <c r="C35" s="1548"/>
      <c r="D35" s="1552" t="s">
        <v>428</v>
      </c>
      <c r="E35" s="1552"/>
      <c r="F35" s="159" t="s">
        <v>429</v>
      </c>
      <c r="G35" s="1583" t="s">
        <v>430</v>
      </c>
      <c r="H35" s="1583"/>
      <c r="I35" s="1583"/>
      <c r="J35" s="160" t="s">
        <v>431</v>
      </c>
      <c r="K35" s="1546"/>
      <c r="L35" s="197"/>
      <c r="M35" s="166"/>
      <c r="N35" s="166"/>
      <c r="O35" s="166"/>
    </row>
    <row r="36" spans="1:15" s="120" customFormat="1" ht="18.75" customHeight="1">
      <c r="A36" s="1016" t="s">
        <v>19</v>
      </c>
      <c r="B36" s="198">
        <f>B37+B40+B44+B47</f>
        <v>148002343.91</v>
      </c>
      <c r="C36" s="199">
        <f>C37+C40+C44+C47</f>
        <v>239074125.21</v>
      </c>
      <c r="D36" s="1581">
        <f>D37+D40+D44+D47</f>
        <v>121217494.95</v>
      </c>
      <c r="E36" s="1581"/>
      <c r="F36" s="200">
        <f>D36/C36*100</f>
        <v>50.702891767782866</v>
      </c>
      <c r="G36" s="1582">
        <f>G37+G40+G44+G47</f>
        <v>234142387.62</v>
      </c>
      <c r="H36" s="1582"/>
      <c r="I36" s="1582"/>
      <c r="J36" s="201">
        <f t="shared" si="5"/>
        <v>97.93715125563335</v>
      </c>
      <c r="K36" s="1030">
        <f>K37+K40+K44+K47</f>
        <v>4931737.589999996</v>
      </c>
      <c r="L36" s="202"/>
      <c r="M36" s="101"/>
      <c r="N36" s="101"/>
      <c r="O36" s="101"/>
    </row>
    <row r="37" spans="1:15" s="120" customFormat="1" ht="18.75" customHeight="1">
      <c r="A37" s="1008" t="s">
        <v>20</v>
      </c>
      <c r="B37" s="167">
        <f>B38+B39</f>
        <v>147886138.91</v>
      </c>
      <c r="C37" s="167">
        <f>C38+C39</f>
        <v>238957920.21</v>
      </c>
      <c r="D37" s="1564">
        <f>D38+D39</f>
        <v>121217494.95</v>
      </c>
      <c r="E37" s="1565"/>
      <c r="F37" s="168">
        <f>D37/C37*100</f>
        <v>50.727548533847354</v>
      </c>
      <c r="G37" s="1558">
        <f>G38+G39</f>
        <v>234142387.62</v>
      </c>
      <c r="H37" s="1558"/>
      <c r="I37" s="1558"/>
      <c r="J37" s="167">
        <f t="shared" si="5"/>
        <v>97.98477799531899</v>
      </c>
      <c r="K37" s="1013">
        <f>K38+K39</f>
        <v>4815532.589999996</v>
      </c>
      <c r="L37" s="178"/>
      <c r="M37" s="101"/>
      <c r="N37" s="101"/>
      <c r="O37" s="101"/>
    </row>
    <row r="38" spans="1:15" s="102" customFormat="1" ht="18.75" customHeight="1">
      <c r="A38" s="1009" t="s">
        <v>663</v>
      </c>
      <c r="B38" s="172">
        <v>106977653.42</v>
      </c>
      <c r="C38" s="172">
        <v>193049401.44</v>
      </c>
      <c r="D38" s="1556">
        <f>G38-'[19]Anexo 1 _ BAL ORC'!G38</f>
        <v>100611131.31</v>
      </c>
      <c r="E38" s="1557"/>
      <c r="F38" s="173">
        <f>D38/C38*100</f>
        <v>52.116779725561635</v>
      </c>
      <c r="G38" s="1569">
        <v>186977053.65</v>
      </c>
      <c r="H38" s="1569"/>
      <c r="I38" s="1569"/>
      <c r="J38" s="167">
        <f t="shared" si="5"/>
        <v>96.8545109465738</v>
      </c>
      <c r="K38" s="1014">
        <f>C38-G38</f>
        <v>6072347.789999992</v>
      </c>
      <c r="L38" s="176"/>
      <c r="M38" s="97"/>
      <c r="N38" s="97"/>
      <c r="O38" s="97"/>
    </row>
    <row r="39" spans="1:15" s="102" customFormat="1" ht="18.75" customHeight="1">
      <c r="A39" s="1009" t="s">
        <v>664</v>
      </c>
      <c r="B39" s="172">
        <v>40908485.49</v>
      </c>
      <c r="C39" s="172">
        <v>45908518.77</v>
      </c>
      <c r="D39" s="1556">
        <f>G39-'[19]Anexo 1 _ BAL ORC'!G39</f>
        <v>20606363.64</v>
      </c>
      <c r="E39" s="1557"/>
      <c r="F39" s="173">
        <f>D39/C39*100</f>
        <v>44.8857079080184</v>
      </c>
      <c r="G39" s="1569">
        <v>47165333.97</v>
      </c>
      <c r="H39" s="1569"/>
      <c r="I39" s="1569"/>
      <c r="J39" s="172">
        <f t="shared" si="5"/>
        <v>102.73765138513093</v>
      </c>
      <c r="K39" s="1014">
        <f>C39-G39</f>
        <v>-1256815.1999999955</v>
      </c>
      <c r="L39" s="176"/>
      <c r="M39" s="97"/>
      <c r="N39" s="97"/>
      <c r="O39" s="97"/>
    </row>
    <row r="40" spans="1:15" s="120" customFormat="1" ht="18.75" customHeight="1">
      <c r="A40" s="1008" t="s">
        <v>21</v>
      </c>
      <c r="B40" s="203">
        <f>B41+B42+B43</f>
        <v>116205</v>
      </c>
      <c r="C40" s="203">
        <f>C41+C42+C43</f>
        <v>116205</v>
      </c>
      <c r="D40" s="1564">
        <f>D41+D42+D43</f>
        <v>0</v>
      </c>
      <c r="E40" s="1565"/>
      <c r="F40" s="173">
        <f>D40/C40*100</f>
        <v>0</v>
      </c>
      <c r="G40" s="1558">
        <f>G41+G42</f>
        <v>0</v>
      </c>
      <c r="H40" s="1558"/>
      <c r="I40" s="1558"/>
      <c r="J40" s="172">
        <f t="shared" si="5"/>
        <v>0</v>
      </c>
      <c r="K40" s="1013">
        <f>K41+K42</f>
        <v>116205</v>
      </c>
      <c r="L40" s="178"/>
      <c r="M40" s="101"/>
      <c r="N40" s="101"/>
      <c r="O40" s="101"/>
    </row>
    <row r="41" spans="1:15" s="102" customFormat="1" ht="18.75" customHeight="1">
      <c r="A41" s="1009" t="s">
        <v>22</v>
      </c>
      <c r="B41" s="177">
        <v>65208</v>
      </c>
      <c r="C41" s="177">
        <f>B41</f>
        <v>65208</v>
      </c>
      <c r="D41" s="1556">
        <f>G41-'[19]Anexo 1 _ BAL ORC'!G41</f>
        <v>0</v>
      </c>
      <c r="E41" s="1557"/>
      <c r="F41" s="173"/>
      <c r="G41" s="1569">
        <v>0</v>
      </c>
      <c r="H41" s="1569"/>
      <c r="I41" s="1569"/>
      <c r="J41" s="172"/>
      <c r="K41" s="1014">
        <f aca="true" t="shared" si="6" ref="K41:K48">C41-G41</f>
        <v>65208</v>
      </c>
      <c r="L41" s="176"/>
      <c r="M41" s="97"/>
      <c r="N41" s="97"/>
      <c r="O41" s="97"/>
    </row>
    <row r="42" spans="1:15" s="102" customFormat="1" ht="18.75" customHeight="1">
      <c r="A42" s="1009" t="s">
        <v>23</v>
      </c>
      <c r="B42" s="177">
        <v>50997</v>
      </c>
      <c r="C42" s="177">
        <f>B42</f>
        <v>50997</v>
      </c>
      <c r="D42" s="1556">
        <f>G42-'[19]Anexo 1 _ BAL ORC'!G42</f>
        <v>0</v>
      </c>
      <c r="E42" s="1557"/>
      <c r="F42" s="173">
        <f>D42/C42*100</f>
        <v>0</v>
      </c>
      <c r="G42" s="1569">
        <v>0</v>
      </c>
      <c r="H42" s="1569"/>
      <c r="I42" s="1569"/>
      <c r="J42" s="172">
        <f>G42/C42*100</f>
        <v>0</v>
      </c>
      <c r="K42" s="1014">
        <f t="shared" si="6"/>
        <v>50997</v>
      </c>
      <c r="L42" s="176"/>
      <c r="M42" s="97"/>
      <c r="N42" s="97"/>
      <c r="O42" s="97"/>
    </row>
    <row r="43" spans="1:15" s="102" customFormat="1" ht="18.75" customHeight="1">
      <c r="A43" s="1009" t="s">
        <v>665</v>
      </c>
      <c r="B43" s="177"/>
      <c r="C43" s="177"/>
      <c r="D43" s="1556"/>
      <c r="E43" s="1580"/>
      <c r="F43" s="173"/>
      <c r="G43" s="1569">
        <v>0</v>
      </c>
      <c r="H43" s="1569"/>
      <c r="I43" s="1569"/>
      <c r="J43" s="172"/>
      <c r="K43" s="1014"/>
      <c r="L43" s="176"/>
      <c r="M43" s="97"/>
      <c r="N43" s="97"/>
      <c r="O43" s="97"/>
    </row>
    <row r="44" spans="1:15" s="120" customFormat="1" ht="18.75" customHeight="1">
      <c r="A44" s="1008" t="s">
        <v>24</v>
      </c>
      <c r="B44" s="204">
        <f>B45+B46</f>
        <v>0</v>
      </c>
      <c r="C44" s="203">
        <f>C45+C46</f>
        <v>0</v>
      </c>
      <c r="D44" s="1579">
        <f>D45+D46</f>
        <v>0</v>
      </c>
      <c r="E44" s="1579"/>
      <c r="F44" s="173"/>
      <c r="G44" s="1558">
        <f>G45+G46</f>
        <v>0</v>
      </c>
      <c r="H44" s="1558"/>
      <c r="I44" s="1558"/>
      <c r="J44" s="167"/>
      <c r="K44" s="1031">
        <f>SUM(K45:K46)</f>
        <v>0</v>
      </c>
      <c r="L44" s="178"/>
      <c r="M44" s="101"/>
      <c r="N44" s="101"/>
      <c r="O44" s="101"/>
    </row>
    <row r="45" spans="1:15" s="102" customFormat="1" ht="18.75" customHeight="1">
      <c r="A45" s="1009" t="s">
        <v>668</v>
      </c>
      <c r="B45" s="177"/>
      <c r="C45" s="177">
        <v>0</v>
      </c>
      <c r="D45" s="1556"/>
      <c r="E45" s="1557"/>
      <c r="F45" s="173"/>
      <c r="G45" s="1569">
        <v>0</v>
      </c>
      <c r="H45" s="1569"/>
      <c r="I45" s="1569"/>
      <c r="J45" s="167"/>
      <c r="K45" s="1014">
        <f t="shared" si="6"/>
        <v>0</v>
      </c>
      <c r="L45" s="176"/>
      <c r="M45" s="97"/>
      <c r="N45" s="97"/>
      <c r="O45" s="97"/>
    </row>
    <row r="46" spans="1:15" s="102" customFormat="1" ht="18.75" customHeight="1">
      <c r="A46" s="1009" t="s">
        <v>674</v>
      </c>
      <c r="B46" s="177"/>
      <c r="C46" s="172"/>
      <c r="D46" s="1556"/>
      <c r="E46" s="1557"/>
      <c r="F46" s="173"/>
      <c r="G46" s="1569"/>
      <c r="H46" s="1569"/>
      <c r="I46" s="1569"/>
      <c r="J46" s="167"/>
      <c r="K46" s="1014">
        <f t="shared" si="6"/>
        <v>0</v>
      </c>
      <c r="L46" s="176"/>
      <c r="M46" s="97"/>
      <c r="N46" s="97"/>
      <c r="O46" s="97"/>
    </row>
    <row r="47" spans="1:15" s="120" customFormat="1" ht="18.75" customHeight="1">
      <c r="A47" s="1008" t="s">
        <v>25</v>
      </c>
      <c r="B47" s="204">
        <f>B48</f>
        <v>0</v>
      </c>
      <c r="C47" s="204">
        <f>C48</f>
        <v>0</v>
      </c>
      <c r="D47" s="1556">
        <f>D48</f>
        <v>0</v>
      </c>
      <c r="E47" s="1557"/>
      <c r="F47" s="173"/>
      <c r="G47" s="1558">
        <f>G48</f>
        <v>0</v>
      </c>
      <c r="H47" s="1558"/>
      <c r="I47" s="1558"/>
      <c r="J47" s="167"/>
      <c r="K47" s="1013">
        <f>K48</f>
        <v>0</v>
      </c>
      <c r="L47" s="178"/>
      <c r="M47" s="101"/>
      <c r="N47" s="101"/>
      <c r="O47" s="101"/>
    </row>
    <row r="48" spans="1:18" s="102" customFormat="1" ht="18.75" customHeight="1">
      <c r="A48" s="1009" t="s">
        <v>26</v>
      </c>
      <c r="B48" s="177">
        <v>0</v>
      </c>
      <c r="C48" s="177">
        <v>0</v>
      </c>
      <c r="D48" s="1556"/>
      <c r="E48" s="1557"/>
      <c r="F48" s="173"/>
      <c r="G48" s="1569"/>
      <c r="H48" s="1569"/>
      <c r="I48" s="1569"/>
      <c r="J48" s="167"/>
      <c r="K48" s="1014">
        <f t="shared" si="6"/>
        <v>0</v>
      </c>
      <c r="L48" s="176"/>
      <c r="M48" s="97"/>
      <c r="N48" s="97"/>
      <c r="O48" s="97"/>
      <c r="R48" s="205"/>
    </row>
    <row r="49" spans="1:15" s="102" customFormat="1" ht="18.75" customHeight="1">
      <c r="A49" s="1007" t="s">
        <v>27</v>
      </c>
      <c r="B49" s="167">
        <v>90254076</v>
      </c>
      <c r="C49" s="167">
        <f>B49</f>
        <v>90254076</v>
      </c>
      <c r="D49" s="1576">
        <f>G49-'[19]Anexo 1 _ BAL ORC'!G49</f>
        <v>17187839.28</v>
      </c>
      <c r="E49" s="1577"/>
      <c r="F49" s="168">
        <f>D49/C49*100</f>
        <v>19.043837178057203</v>
      </c>
      <c r="G49" s="1558">
        <v>75345104.47</v>
      </c>
      <c r="H49" s="1558"/>
      <c r="I49" s="1558"/>
      <c r="J49" s="167">
        <f>G49/C49*100</f>
        <v>83.48111000549162</v>
      </c>
      <c r="K49" s="1013">
        <f>C49-G49</f>
        <v>14908971.530000001</v>
      </c>
      <c r="L49" s="176"/>
      <c r="M49" s="97"/>
      <c r="N49" s="97"/>
      <c r="O49" s="97"/>
    </row>
    <row r="50" spans="1:15" s="120" customFormat="1" ht="18.75" customHeight="1">
      <c r="A50" s="1017" t="s">
        <v>28</v>
      </c>
      <c r="B50" s="162">
        <f>B10+B49</f>
        <v>3497698924.0199995</v>
      </c>
      <c r="C50" s="1203">
        <f>C10+C49</f>
        <v>3863433174.4900002</v>
      </c>
      <c r="D50" s="1578">
        <f>D10+D49</f>
        <v>762539713.0600002</v>
      </c>
      <c r="E50" s="1578"/>
      <c r="F50" s="162">
        <f>D50/C50*100</f>
        <v>19.737359975448797</v>
      </c>
      <c r="G50" s="1567">
        <f>G10+G49</f>
        <v>3653841623.6299996</v>
      </c>
      <c r="H50" s="1567"/>
      <c r="I50" s="1567"/>
      <c r="J50" s="162">
        <f>G50/C50*100</f>
        <v>94.5749922052769</v>
      </c>
      <c r="K50" s="1032">
        <f>K10+K49</f>
        <v>209591550.85999975</v>
      </c>
      <c r="L50" s="169"/>
      <c r="M50" s="168"/>
      <c r="N50" s="185"/>
      <c r="O50" s="185"/>
    </row>
    <row r="51" spans="1:15" s="120" customFormat="1" ht="18.75" customHeight="1">
      <c r="A51" s="1412" t="s">
        <v>675</v>
      </c>
      <c r="B51" s="206">
        <f>B52+B55</f>
        <v>0</v>
      </c>
      <c r="C51" s="206">
        <f>C52+C55</f>
        <v>0</v>
      </c>
      <c r="D51" s="1574">
        <f>D52+D55</f>
        <v>0</v>
      </c>
      <c r="E51" s="1575"/>
      <c r="F51" s="208">
        <v>0</v>
      </c>
      <c r="G51" s="1558">
        <f>G52+G55</f>
        <v>0</v>
      </c>
      <c r="H51" s="1558"/>
      <c r="I51" s="1558"/>
      <c r="J51" s="172">
        <v>0</v>
      </c>
      <c r="K51" s="1033">
        <f>K52+K55</f>
        <v>0</v>
      </c>
      <c r="L51" s="209"/>
      <c r="M51" s="101"/>
      <c r="N51" s="101"/>
      <c r="O51" s="101"/>
    </row>
    <row r="52" spans="1:15" s="120" customFormat="1" ht="18.75" customHeight="1">
      <c r="A52" s="1009" t="s">
        <v>663</v>
      </c>
      <c r="B52" s="210">
        <f>SUM(B53:B54)</f>
        <v>0</v>
      </c>
      <c r="C52" s="210">
        <f>SUM(C53:C54)</f>
        <v>0</v>
      </c>
      <c r="D52" s="1564">
        <f>SUM(D53:D54)</f>
        <v>0</v>
      </c>
      <c r="E52" s="1565"/>
      <c r="F52" s="204">
        <v>0</v>
      </c>
      <c r="G52" s="1558">
        <f>SUM(H53:H54)</f>
        <v>0</v>
      </c>
      <c r="H52" s="1558"/>
      <c r="I52" s="1558"/>
      <c r="J52" s="172">
        <v>0</v>
      </c>
      <c r="K52" s="1034">
        <f>SUM(K53:K54)</f>
        <v>0</v>
      </c>
      <c r="L52" s="178"/>
      <c r="M52" s="101"/>
      <c r="N52" s="101"/>
      <c r="O52" s="101"/>
    </row>
    <row r="53" spans="1:15" s="102" customFormat="1" ht="18.75" customHeight="1">
      <c r="A53" s="1019" t="s">
        <v>29</v>
      </c>
      <c r="B53" s="211">
        <v>0</v>
      </c>
      <c r="C53" s="211">
        <v>0</v>
      </c>
      <c r="D53" s="1556"/>
      <c r="E53" s="1557"/>
      <c r="F53" s="172">
        <v>0</v>
      </c>
      <c r="G53" s="1569">
        <v>0</v>
      </c>
      <c r="H53" s="1569"/>
      <c r="I53" s="1569"/>
      <c r="J53" s="172">
        <v>0</v>
      </c>
      <c r="K53" s="1014">
        <v>0</v>
      </c>
      <c r="L53" s="176"/>
      <c r="M53" s="97"/>
      <c r="N53" s="97"/>
      <c r="O53" s="97"/>
    </row>
    <row r="54" spans="1:15" s="102" customFormat="1" ht="18.75" customHeight="1">
      <c r="A54" s="1019" t="s">
        <v>30</v>
      </c>
      <c r="B54" s="211">
        <v>0</v>
      </c>
      <c r="C54" s="211">
        <v>0</v>
      </c>
      <c r="D54" s="1556"/>
      <c r="E54" s="1557"/>
      <c r="F54" s="172">
        <v>0</v>
      </c>
      <c r="G54" s="1569">
        <v>0</v>
      </c>
      <c r="H54" s="1569"/>
      <c r="I54" s="1569"/>
      <c r="J54" s="172">
        <v>0</v>
      </c>
      <c r="K54" s="1014">
        <v>0</v>
      </c>
      <c r="L54" s="176"/>
      <c r="M54" s="97"/>
      <c r="N54" s="97"/>
      <c r="O54" s="97"/>
    </row>
    <row r="55" spans="1:15" s="102" customFormat="1" ht="18.75" customHeight="1">
      <c r="A55" s="1009" t="s">
        <v>664</v>
      </c>
      <c r="B55" s="210">
        <f>SUM(B56:B57)</f>
        <v>0</v>
      </c>
      <c r="C55" s="210">
        <f>SUM(C56:C57)</f>
        <v>0</v>
      </c>
      <c r="D55" s="1564">
        <f>SUM(D56:D57)</f>
        <v>0</v>
      </c>
      <c r="E55" s="1565"/>
      <c r="F55" s="204">
        <v>0</v>
      </c>
      <c r="G55" s="1558">
        <f>SUM(H56:H57)</f>
        <v>0</v>
      </c>
      <c r="H55" s="1558"/>
      <c r="I55" s="1558"/>
      <c r="J55" s="172">
        <v>0</v>
      </c>
      <c r="K55" s="1034">
        <f>SUM(K56:K57)</f>
        <v>0</v>
      </c>
      <c r="L55" s="212"/>
      <c r="M55" s="97"/>
      <c r="N55" s="97"/>
      <c r="O55" s="97"/>
    </row>
    <row r="56" spans="1:15" s="102" customFormat="1" ht="18.75" customHeight="1">
      <c r="A56" s="1019" t="s">
        <v>29</v>
      </c>
      <c r="B56" s="211">
        <v>0</v>
      </c>
      <c r="C56" s="211">
        <v>0</v>
      </c>
      <c r="D56" s="1556"/>
      <c r="E56" s="1557"/>
      <c r="F56" s="172">
        <v>0</v>
      </c>
      <c r="G56" s="1569">
        <v>0</v>
      </c>
      <c r="H56" s="1569"/>
      <c r="I56" s="1569"/>
      <c r="J56" s="172">
        <v>0</v>
      </c>
      <c r="K56" s="1014">
        <v>0</v>
      </c>
      <c r="L56" s="212"/>
      <c r="M56" s="97"/>
      <c r="N56" s="97"/>
      <c r="O56" s="97"/>
    </row>
    <row r="57" spans="1:15" s="102" customFormat="1" ht="18.75" customHeight="1">
      <c r="A57" s="1019" t="s">
        <v>30</v>
      </c>
      <c r="B57" s="213">
        <v>0</v>
      </c>
      <c r="C57" s="213">
        <v>0</v>
      </c>
      <c r="D57" s="1556"/>
      <c r="E57" s="1557"/>
      <c r="F57" s="214">
        <v>0</v>
      </c>
      <c r="G57" s="1570">
        <v>0</v>
      </c>
      <c r="H57" s="1570"/>
      <c r="I57" s="1570"/>
      <c r="J57" s="172">
        <v>0</v>
      </c>
      <c r="K57" s="1014">
        <v>0</v>
      </c>
      <c r="L57" s="212"/>
      <c r="M57" s="97"/>
      <c r="N57" s="97"/>
      <c r="O57" s="97"/>
    </row>
    <row r="58" spans="1:15" s="120" customFormat="1" ht="18.75" customHeight="1">
      <c r="A58" s="1017" t="s">
        <v>751</v>
      </c>
      <c r="B58" s="163">
        <f>B50+B51</f>
        <v>3497698924.0199995</v>
      </c>
      <c r="C58" s="163">
        <f>C50+C51</f>
        <v>3863433174.4900002</v>
      </c>
      <c r="D58" s="1567">
        <f>D50+D51</f>
        <v>762539713.0600002</v>
      </c>
      <c r="E58" s="1567"/>
      <c r="F58" s="215">
        <f>D58/C58*100</f>
        <v>19.737359975448797</v>
      </c>
      <c r="G58" s="1571">
        <f>G50+G51</f>
        <v>3653841623.6299996</v>
      </c>
      <c r="H58" s="1572"/>
      <c r="I58" s="1573"/>
      <c r="J58" s="162">
        <f>G58/C58*100</f>
        <v>94.5749922052769</v>
      </c>
      <c r="K58" s="1032">
        <f>K50+K51</f>
        <v>209591550.85999975</v>
      </c>
      <c r="L58" s="178"/>
      <c r="M58" s="168"/>
      <c r="N58" s="101"/>
      <c r="O58" s="101"/>
    </row>
    <row r="59" spans="1:24" s="120" customFormat="1" ht="18.75" customHeight="1">
      <c r="A59" s="1017" t="s">
        <v>31</v>
      </c>
      <c r="B59" s="206">
        <v>0</v>
      </c>
      <c r="C59" s="206">
        <v>0</v>
      </c>
      <c r="D59" s="1562">
        <v>0</v>
      </c>
      <c r="E59" s="1563"/>
      <c r="F59" s="216">
        <v>0</v>
      </c>
      <c r="G59" s="1562"/>
      <c r="H59" s="1592"/>
      <c r="I59" s="1563"/>
      <c r="J59" s="216">
        <v>0</v>
      </c>
      <c r="K59" s="1035">
        <f>-G59</f>
        <v>0</v>
      </c>
      <c r="L59" s="217"/>
      <c r="M59" s="218"/>
      <c r="N59" s="218"/>
      <c r="O59" s="218"/>
      <c r="P59" s="217"/>
      <c r="Q59" s="217"/>
      <c r="R59" s="217"/>
      <c r="S59" s="217"/>
      <c r="T59" s="217"/>
      <c r="U59" s="217"/>
      <c r="V59" s="217"/>
      <c r="W59" s="217"/>
      <c r="X59" s="217"/>
    </row>
    <row r="60" spans="1:15" s="120" customFormat="1" ht="18.75" customHeight="1">
      <c r="A60" s="1017" t="s">
        <v>752</v>
      </c>
      <c r="B60" s="219">
        <f>B58+B59</f>
        <v>3497698924.0199995</v>
      </c>
      <c r="C60" s="219">
        <f>C58+C59</f>
        <v>3863433174.4900002</v>
      </c>
      <c r="D60" s="1567">
        <f>D58+D59</f>
        <v>762539713.0600002</v>
      </c>
      <c r="E60" s="1567"/>
      <c r="F60" s="162">
        <f>D60/C60*100</f>
        <v>19.737359975448797</v>
      </c>
      <c r="G60" s="1567">
        <f>G58+G59</f>
        <v>3653841623.6299996</v>
      </c>
      <c r="H60" s="1567"/>
      <c r="I60" s="1567"/>
      <c r="J60" s="162">
        <f>G60/C60*100</f>
        <v>94.5749922052769</v>
      </c>
      <c r="K60" s="1032">
        <f>K58+K59</f>
        <v>209591550.85999975</v>
      </c>
      <c r="L60" s="178"/>
      <c r="M60" s="220"/>
      <c r="N60" s="101"/>
      <c r="O60" s="101"/>
    </row>
    <row r="61" spans="1:15" s="120" customFormat="1" ht="53.25" customHeight="1">
      <c r="A61" s="1020" t="s">
        <v>32</v>
      </c>
      <c r="B61" s="613"/>
      <c r="C61" s="613">
        <f>C88-C60-6799986.5</f>
        <v>89129573.28999996</v>
      </c>
      <c r="D61" s="1568"/>
      <c r="E61" s="1568"/>
      <c r="F61" s="614"/>
      <c r="G61" s="1561"/>
      <c r="H61" s="1561"/>
      <c r="I61" s="1561"/>
      <c r="J61" s="221"/>
      <c r="K61" s="1036"/>
      <c r="L61" s="209"/>
      <c r="M61" s="101"/>
      <c r="N61" s="101"/>
      <c r="O61" s="101"/>
    </row>
    <row r="62" spans="1:15" s="102" customFormat="1" ht="18.75" customHeight="1">
      <c r="A62" s="236"/>
      <c r="B62" s="223"/>
      <c r="C62" s="223"/>
      <c r="D62" s="223"/>
      <c r="E62" s="223"/>
      <c r="F62" s="223"/>
      <c r="G62" s="223"/>
      <c r="H62" s="612"/>
      <c r="I62" s="223"/>
      <c r="J62" s="224"/>
      <c r="K62" s="224"/>
      <c r="L62" s="176"/>
      <c r="M62" s="97"/>
      <c r="N62" s="97"/>
      <c r="O62" s="97"/>
    </row>
    <row r="63" spans="1:23" s="102" customFormat="1" ht="18.75" customHeight="1">
      <c r="A63" s="1021"/>
      <c r="B63" s="95" t="s">
        <v>33</v>
      </c>
      <c r="C63" s="96" t="s">
        <v>33</v>
      </c>
      <c r="D63" s="1599" t="s">
        <v>324</v>
      </c>
      <c r="E63" s="1600"/>
      <c r="F63" s="1601" t="s">
        <v>167</v>
      </c>
      <c r="G63" s="1603" t="s">
        <v>414</v>
      </c>
      <c r="H63" s="1604"/>
      <c r="I63" s="1596" t="s">
        <v>167</v>
      </c>
      <c r="J63" s="1594" t="s">
        <v>416</v>
      </c>
      <c r="K63" s="1545" t="s">
        <v>153</v>
      </c>
      <c r="L63" s="97"/>
      <c r="M63" s="98"/>
      <c r="N63" s="99"/>
      <c r="O63" s="100"/>
      <c r="P63" s="101"/>
      <c r="Q63" s="101"/>
      <c r="R63" s="97"/>
      <c r="S63" s="97"/>
      <c r="T63" s="97"/>
      <c r="U63" s="97"/>
      <c r="V63" s="97"/>
      <c r="W63" s="97"/>
    </row>
    <row r="64" spans="1:23" s="102" customFormat="1" ht="18.75" customHeight="1">
      <c r="A64" s="1022"/>
      <c r="B64" s="103"/>
      <c r="C64" s="103"/>
      <c r="D64" s="103"/>
      <c r="E64" s="104"/>
      <c r="F64" s="1602"/>
      <c r="G64" s="1605"/>
      <c r="H64" s="1606"/>
      <c r="I64" s="1597"/>
      <c r="J64" s="1595"/>
      <c r="K64" s="1545"/>
      <c r="L64" s="97"/>
      <c r="M64" s="105"/>
      <c r="N64" s="105"/>
      <c r="O64" s="100"/>
      <c r="P64" s="101"/>
      <c r="Q64" s="101"/>
      <c r="R64" s="97"/>
      <c r="S64" s="97"/>
      <c r="T64" s="97"/>
      <c r="U64" s="97"/>
      <c r="V64" s="97"/>
      <c r="W64" s="97"/>
    </row>
    <row r="65" spans="1:23" s="102" customFormat="1" ht="18.75" customHeight="1">
      <c r="A65" s="1023" t="s">
        <v>34</v>
      </c>
      <c r="B65" s="106" t="s">
        <v>35</v>
      </c>
      <c r="C65" s="106" t="s">
        <v>36</v>
      </c>
      <c r="D65" s="106" t="s">
        <v>64</v>
      </c>
      <c r="E65" s="107" t="s">
        <v>65</v>
      </c>
      <c r="F65" s="1595"/>
      <c r="G65" s="1587" t="s">
        <v>5</v>
      </c>
      <c r="H65" s="108" t="s">
        <v>419</v>
      </c>
      <c r="I65" s="1598"/>
      <c r="J65" s="1595"/>
      <c r="K65" s="1545"/>
      <c r="L65" s="97"/>
      <c r="M65" s="105"/>
      <c r="N65" s="105"/>
      <c r="O65" s="100"/>
      <c r="P65" s="101"/>
      <c r="Q65" s="101"/>
      <c r="R65" s="97"/>
      <c r="S65" s="97"/>
      <c r="T65" s="97"/>
      <c r="U65" s="97"/>
      <c r="V65" s="97"/>
      <c r="W65" s="97"/>
    </row>
    <row r="66" spans="1:23" s="102" customFormat="1" ht="18.75" customHeight="1">
      <c r="A66" s="1024"/>
      <c r="B66" s="110" t="s">
        <v>37</v>
      </c>
      <c r="C66" s="111" t="s">
        <v>38</v>
      </c>
      <c r="D66" s="110"/>
      <c r="E66" s="111" t="s">
        <v>412</v>
      </c>
      <c r="F66" s="111" t="s">
        <v>413</v>
      </c>
      <c r="G66" s="1548"/>
      <c r="H66" s="112" t="s">
        <v>39</v>
      </c>
      <c r="I66" s="113" t="s">
        <v>415</v>
      </c>
      <c r="J66" s="114" t="s">
        <v>417</v>
      </c>
      <c r="K66" s="1037" t="s">
        <v>418</v>
      </c>
      <c r="L66" s="97"/>
      <c r="M66" s="105"/>
      <c r="N66" s="105"/>
      <c r="O66" s="105"/>
      <c r="P66" s="97"/>
      <c r="Q66" s="97"/>
      <c r="R66" s="97"/>
      <c r="S66" s="97"/>
      <c r="T66" s="97"/>
      <c r="U66" s="97"/>
      <c r="V66" s="97"/>
      <c r="W66" s="97"/>
    </row>
    <row r="67" spans="1:23" s="102" customFormat="1" ht="18.75" customHeight="1">
      <c r="A67" s="1007" t="s">
        <v>40</v>
      </c>
      <c r="B67" s="115">
        <f aca="true" t="shared" si="7" ref="B67:K67">B68+B72+B76</f>
        <v>3413388863.0200005</v>
      </c>
      <c r="C67" s="115">
        <f t="shared" si="7"/>
        <v>3889887249.59</v>
      </c>
      <c r="D67" s="1213">
        <f t="shared" si="7"/>
        <v>185168741.4399998</v>
      </c>
      <c r="E67" s="1213">
        <f t="shared" si="7"/>
        <v>3457668028.5499997</v>
      </c>
      <c r="F67" s="1213">
        <f t="shared" si="7"/>
        <v>432219221.0400004</v>
      </c>
      <c r="G67" s="1213">
        <f t="shared" si="7"/>
        <v>768759587.0799999</v>
      </c>
      <c r="H67" s="1213">
        <f t="shared" si="7"/>
        <v>3206849001.9399996</v>
      </c>
      <c r="I67" s="115">
        <f t="shared" si="7"/>
        <v>683038247.6500003</v>
      </c>
      <c r="J67" s="1213">
        <f t="shared" si="7"/>
        <v>3101160342.55</v>
      </c>
      <c r="K67" s="1038">
        <f t="shared" si="7"/>
        <v>250819026.60999995</v>
      </c>
      <c r="L67" s="116"/>
      <c r="M67" s="105"/>
      <c r="N67" s="105"/>
      <c r="O67" s="100"/>
      <c r="P67" s="101"/>
      <c r="Q67" s="101"/>
      <c r="R67" s="97"/>
      <c r="S67" s="97"/>
      <c r="T67" s="97"/>
      <c r="U67" s="97"/>
      <c r="V67" s="97"/>
      <c r="W67" s="97"/>
    </row>
    <row r="68" spans="1:23" s="120" customFormat="1" ht="18.75" customHeight="1">
      <c r="A68" s="1025" t="s">
        <v>41</v>
      </c>
      <c r="B68" s="117">
        <f>B69+B70+B71</f>
        <v>2825340555.1000004</v>
      </c>
      <c r="C68" s="117">
        <f>C69+C70+C71</f>
        <v>3203005486.2500005</v>
      </c>
      <c r="D68" s="1214">
        <f aca="true" t="shared" si="8" ref="D68:I68">D69+D70+D71</f>
        <v>93929805.04999983</v>
      </c>
      <c r="E68" s="1214">
        <f t="shared" si="8"/>
        <v>2914854723.8999996</v>
      </c>
      <c r="F68" s="1214">
        <f t="shared" si="8"/>
        <v>288150762.3500004</v>
      </c>
      <c r="G68" s="1214">
        <f t="shared" si="8"/>
        <v>614203278.14</v>
      </c>
      <c r="H68" s="1214">
        <f t="shared" si="8"/>
        <v>2753027471.6099997</v>
      </c>
      <c r="I68" s="117">
        <f t="shared" si="8"/>
        <v>449978014.64000034</v>
      </c>
      <c r="J68" s="1355">
        <f>J69+J70+J71</f>
        <v>2670803119.56</v>
      </c>
      <c r="K68" s="1039">
        <f>K69+K70+K71</f>
        <v>161827252.28999996</v>
      </c>
      <c r="L68" s="116"/>
      <c r="M68" s="119"/>
      <c r="N68" s="105"/>
      <c r="O68" s="100"/>
      <c r="P68" s="101"/>
      <c r="Q68" s="101"/>
      <c r="R68" s="101"/>
      <c r="S68" s="101"/>
      <c r="T68" s="101"/>
      <c r="U68" s="101"/>
      <c r="V68" s="101"/>
      <c r="W68" s="101"/>
    </row>
    <row r="69" spans="1:23" s="120" customFormat="1" ht="18.75" customHeight="1">
      <c r="A69" s="1026" t="s">
        <v>42</v>
      </c>
      <c r="B69" s="121">
        <f>1732692780.88-B77</f>
        <v>1648382719.88</v>
      </c>
      <c r="C69" s="121">
        <f>1732692780.88+349160384.09-296228415.61-C77</f>
        <v>1716149264.67</v>
      </c>
      <c r="D69" s="1348">
        <f>E69-'[19]Anexo 1 _ BAL ORC'!E69</f>
        <v>-17583954.47000003</v>
      </c>
      <c r="E69" s="1349">
        <f>1651815017.59-E77</f>
        <v>1586214276.01</v>
      </c>
      <c r="F69" s="15">
        <f>C69-E69</f>
        <v>129934988.66000009</v>
      </c>
      <c r="G69" s="1350">
        <f>H69-'[19]Anexo 1 _ BAL ORC'!H69</f>
        <v>307172076.1600001</v>
      </c>
      <c r="H69" s="1351">
        <f>1639497224.5-H77</f>
        <v>1575629193.65</v>
      </c>
      <c r="I69" s="121">
        <f>C69-H69</f>
        <v>140520071.01999998</v>
      </c>
      <c r="J69" s="1350">
        <f>1618830637.57-J77</f>
        <v>1554962606.72</v>
      </c>
      <c r="K69" s="1040">
        <f>E69-H69</f>
        <v>10585082.359999895</v>
      </c>
      <c r="L69" s="116"/>
      <c r="M69" s="105"/>
      <c r="N69" s="105"/>
      <c r="O69" s="100"/>
      <c r="P69" s="101"/>
      <c r="Q69" s="101"/>
      <c r="R69" s="101"/>
      <c r="S69" s="101"/>
      <c r="T69" s="101"/>
      <c r="U69" s="101"/>
      <c r="V69" s="101"/>
      <c r="W69" s="101"/>
    </row>
    <row r="70" spans="1:15" s="102" customFormat="1" ht="18.75" customHeight="1">
      <c r="A70" s="1026" t="s">
        <v>43</v>
      </c>
      <c r="B70" s="121">
        <v>34882848.07</v>
      </c>
      <c r="C70" s="121">
        <f>B70+1005000-4399629.92</f>
        <v>31488218.15</v>
      </c>
      <c r="D70" s="1348">
        <f>E70-'[19]Anexo 1 _ BAL ORC'!E70</f>
        <v>1115931.129999999</v>
      </c>
      <c r="E70" s="123">
        <v>28756845.61</v>
      </c>
      <c r="F70" s="121">
        <f aca="true" t="shared" si="9" ref="F70:F77">C70-E70</f>
        <v>2731372.539999999</v>
      </c>
      <c r="G70" s="1350">
        <f>H70-'[19]Anexo 1 _ BAL ORC'!H70</f>
        <v>5612474.530000001</v>
      </c>
      <c r="H70" s="124">
        <v>28756845.61</v>
      </c>
      <c r="I70" s="121">
        <f>C70-H70</f>
        <v>2731372.539999999</v>
      </c>
      <c r="J70" s="104">
        <v>28756845.61</v>
      </c>
      <c r="K70" s="1040">
        <f>E70-H70</f>
        <v>0</v>
      </c>
      <c r="L70" s="116"/>
      <c r="M70" s="105"/>
      <c r="N70" s="105"/>
      <c r="O70" s="126"/>
    </row>
    <row r="71" spans="1:15" s="102" customFormat="1" ht="18.75" customHeight="1">
      <c r="A71" s="1026" t="s">
        <v>44</v>
      </c>
      <c r="B71" s="121">
        <v>1142074987.15</v>
      </c>
      <c r="C71" s="121">
        <f>B71+796200667.92-482907651.64</f>
        <v>1455368003.4300003</v>
      </c>
      <c r="D71" s="1348">
        <f>E71-'[19]Anexo 1 _ BAL ORC'!E71</f>
        <v>110397828.38999987</v>
      </c>
      <c r="E71" s="1349">
        <v>1299883602.28</v>
      </c>
      <c r="F71" s="15">
        <f t="shared" si="9"/>
        <v>155484401.15000033</v>
      </c>
      <c r="G71" s="1350">
        <f>H71-'[19]Anexo 1 _ BAL ORC'!H71</f>
        <v>301418727.4499999</v>
      </c>
      <c r="H71" s="124">
        <v>1148641432.35</v>
      </c>
      <c r="I71" s="121">
        <f>C71-H71</f>
        <v>306726571.0800004</v>
      </c>
      <c r="J71" s="1350">
        <v>1087083667.23</v>
      </c>
      <c r="K71" s="1040">
        <f>E71-H71</f>
        <v>151242169.93000007</v>
      </c>
      <c r="L71" s="116"/>
      <c r="M71" s="105"/>
      <c r="N71" s="105"/>
      <c r="O71" s="126"/>
    </row>
    <row r="72" spans="1:15" s="128" customFormat="1" ht="18.75" customHeight="1">
      <c r="A72" s="1025" t="s">
        <v>45</v>
      </c>
      <c r="B72" s="117">
        <f aca="true" t="shared" si="10" ref="B72:I72">B73+B74+B75</f>
        <v>482781573.91999996</v>
      </c>
      <c r="C72" s="117">
        <f t="shared" si="10"/>
        <v>655733325.41</v>
      </c>
      <c r="D72" s="127">
        <f t="shared" si="10"/>
        <v>91238936.38999996</v>
      </c>
      <c r="E72" s="117">
        <f t="shared" si="10"/>
        <v>542813304.65</v>
      </c>
      <c r="F72" s="117">
        <f t="shared" si="10"/>
        <v>112920020.75999999</v>
      </c>
      <c r="G72" s="1214">
        <f t="shared" si="10"/>
        <v>154556308.94</v>
      </c>
      <c r="H72" s="127">
        <f t="shared" si="10"/>
        <v>453821530.33</v>
      </c>
      <c r="I72" s="117">
        <f t="shared" si="10"/>
        <v>201911795.07999998</v>
      </c>
      <c r="J72" s="118">
        <f>J73+J74+J75</f>
        <v>430357222.99</v>
      </c>
      <c r="K72" s="1039">
        <f>K73+K74+K75</f>
        <v>88991774.32</v>
      </c>
      <c r="L72" s="116"/>
      <c r="M72" s="105"/>
      <c r="N72" s="105"/>
      <c r="O72" s="126"/>
    </row>
    <row r="73" spans="1:15" s="129" customFormat="1" ht="18.75" customHeight="1">
      <c r="A73" s="1026" t="s">
        <v>46</v>
      </c>
      <c r="B73" s="121">
        <v>360924582.32</v>
      </c>
      <c r="C73" s="121">
        <f>B73+373055661.09-166186829.13</f>
        <v>567793414.28</v>
      </c>
      <c r="D73" s="1348">
        <f>E73-'[19]Anexo 1 _ BAL ORC'!E73</f>
        <v>88709141.72999996</v>
      </c>
      <c r="E73" s="123">
        <v>458299236.71</v>
      </c>
      <c r="F73" s="15">
        <f t="shared" si="9"/>
        <v>109494177.57</v>
      </c>
      <c r="G73" s="1350">
        <f>H73-'[19]Anexo 1 _ BAL ORC'!H73</f>
        <v>127171431.82999998</v>
      </c>
      <c r="H73" s="124">
        <v>369307462.39</v>
      </c>
      <c r="I73" s="121">
        <f>C73-H73</f>
        <v>198485951.89</v>
      </c>
      <c r="J73" s="104">
        <v>355009593.26</v>
      </c>
      <c r="K73" s="1040">
        <f>E73-H73</f>
        <v>88991774.32</v>
      </c>
      <c r="L73" s="116"/>
      <c r="M73" s="97"/>
      <c r="N73" s="116"/>
      <c r="O73" s="116"/>
    </row>
    <row r="74" spans="1:15" s="129" customFormat="1" ht="18.75" customHeight="1">
      <c r="A74" s="1026" t="s">
        <v>47</v>
      </c>
      <c r="B74" s="121">
        <v>200000</v>
      </c>
      <c r="C74" s="121">
        <v>0</v>
      </c>
      <c r="D74" s="1348">
        <f>E74-'[19]Anexo 1 _ BAL ORC'!E74</f>
        <v>0</v>
      </c>
      <c r="E74" s="123">
        <v>0</v>
      </c>
      <c r="F74" s="15">
        <f t="shared" si="9"/>
        <v>0</v>
      </c>
      <c r="G74" s="1350">
        <f>H74-'[19]Anexo 1 _ BAL ORC'!H74</f>
        <v>0</v>
      </c>
      <c r="H74" s="124">
        <v>0</v>
      </c>
      <c r="I74" s="121">
        <f>C74-H74</f>
        <v>0</v>
      </c>
      <c r="J74" s="104"/>
      <c r="K74" s="1040">
        <f>E74-H74</f>
        <v>0</v>
      </c>
      <c r="L74" s="116"/>
      <c r="M74" s="105"/>
      <c r="N74" s="116"/>
      <c r="O74" s="116"/>
    </row>
    <row r="75" spans="1:15" s="129" customFormat="1" ht="18.75" customHeight="1">
      <c r="A75" s="1026" t="s">
        <v>48</v>
      </c>
      <c r="B75" s="121">
        <v>121656991.6</v>
      </c>
      <c r="C75" s="121">
        <f>B75+7915468-41632548.47</f>
        <v>87939911.13</v>
      </c>
      <c r="D75" s="1348">
        <f>E75-'[19]Anexo 1 _ BAL ORC'!E75</f>
        <v>2529794.6599999964</v>
      </c>
      <c r="E75" s="123">
        <v>84514067.94</v>
      </c>
      <c r="F75" s="15">
        <f t="shared" si="9"/>
        <v>3425843.1899999976</v>
      </c>
      <c r="G75" s="1350">
        <f>H75-'[19]Anexo 1 _ BAL ORC'!H75</f>
        <v>27384877.11</v>
      </c>
      <c r="H75" s="124">
        <v>84514067.94</v>
      </c>
      <c r="I75" s="121">
        <f>C75-H75</f>
        <v>3425843.1899999976</v>
      </c>
      <c r="J75" s="104">
        <v>75347629.73</v>
      </c>
      <c r="K75" s="1040">
        <f>E75-H75</f>
        <v>0</v>
      </c>
      <c r="L75" s="116"/>
      <c r="M75" s="119"/>
      <c r="N75" s="116"/>
      <c r="O75" s="130"/>
    </row>
    <row r="76" spans="1:15" s="129" customFormat="1" ht="18.75" customHeight="1">
      <c r="A76" s="1025" t="s">
        <v>49</v>
      </c>
      <c r="B76" s="117">
        <v>105266734</v>
      </c>
      <c r="C76" s="117">
        <f>B76-74118296.07</f>
        <v>31148437.930000007</v>
      </c>
      <c r="D76" s="1348">
        <f>E76-'[19]Anexo 1 _ BAL ORC'!E76</f>
        <v>0</v>
      </c>
      <c r="E76" s="131"/>
      <c r="F76" s="121">
        <f t="shared" si="9"/>
        <v>31148437.930000007</v>
      </c>
      <c r="G76" s="1350">
        <f>H76-'[19]Anexo 1 _ BAL ORC'!H76</f>
        <v>0</v>
      </c>
      <c r="H76" s="127">
        <v>0</v>
      </c>
      <c r="I76" s="121">
        <f>C76-H76</f>
        <v>31148437.930000007</v>
      </c>
      <c r="J76" s="104"/>
      <c r="K76" s="1040">
        <f>E76-H76</f>
        <v>0</v>
      </c>
      <c r="L76" s="116"/>
      <c r="M76" s="119"/>
      <c r="N76" s="116"/>
      <c r="O76" s="116"/>
    </row>
    <row r="77" spans="1:15" s="128" customFormat="1" ht="18.75" customHeight="1">
      <c r="A77" s="1220" t="s">
        <v>51</v>
      </c>
      <c r="B77" s="127">
        <v>84310061</v>
      </c>
      <c r="C77" s="117">
        <f>B77+13968733.62-28803309.93</f>
        <v>69475484.69</v>
      </c>
      <c r="D77" s="1520">
        <f>E77-'[19]Anexo 1 _ BAL ORC'!E77</f>
        <v>-5623850.420000002</v>
      </c>
      <c r="E77" s="131">
        <v>65600741.58</v>
      </c>
      <c r="F77" s="117">
        <f t="shared" si="9"/>
        <v>3874743.1099999994</v>
      </c>
      <c r="G77" s="1519">
        <f>H77-'[19]Anexo 1 _ BAL ORC'!H77</f>
        <v>15373260.149999999</v>
      </c>
      <c r="H77" s="127">
        <v>63868030.85</v>
      </c>
      <c r="I77" s="117">
        <f>C77-H77</f>
        <v>5607453.839999996</v>
      </c>
      <c r="J77" s="132">
        <v>63868030.85</v>
      </c>
      <c r="K77" s="1040">
        <f>E77-H77</f>
        <v>1732710.7299999967</v>
      </c>
      <c r="L77" s="181"/>
      <c r="M77" s="222"/>
      <c r="N77" s="181"/>
      <c r="O77" s="181"/>
    </row>
    <row r="78" spans="1:15" s="134" customFormat="1" ht="18.75" customHeight="1">
      <c r="A78" s="1219" t="s">
        <v>52</v>
      </c>
      <c r="B78" s="133">
        <f aca="true" t="shared" si="11" ref="B78:K78">B67+B77</f>
        <v>3497698924.0200005</v>
      </c>
      <c r="C78" s="133">
        <f t="shared" si="11"/>
        <v>3959362734.28</v>
      </c>
      <c r="D78" s="1215">
        <f t="shared" si="11"/>
        <v>179544891.0199998</v>
      </c>
      <c r="E78" s="1215">
        <f t="shared" si="11"/>
        <v>3523268770.1299996</v>
      </c>
      <c r="F78" s="1215">
        <f t="shared" si="11"/>
        <v>436093964.1500004</v>
      </c>
      <c r="G78" s="1215">
        <f t="shared" si="11"/>
        <v>784132847.2299999</v>
      </c>
      <c r="H78" s="1352">
        <f t="shared" si="11"/>
        <v>3270717032.7899995</v>
      </c>
      <c r="I78" s="133">
        <f t="shared" si="11"/>
        <v>688645701.4900004</v>
      </c>
      <c r="J78" s="1213">
        <f t="shared" si="11"/>
        <v>3165028373.4</v>
      </c>
      <c r="K78" s="1041">
        <f t="shared" si="11"/>
        <v>252551737.33999994</v>
      </c>
      <c r="L78" s="116"/>
      <c r="M78" s="105"/>
      <c r="N78" s="116"/>
      <c r="O78" s="116"/>
    </row>
    <row r="79" spans="1:15" s="134" customFormat="1" ht="18.75" customHeight="1">
      <c r="A79" s="1221" t="s">
        <v>755</v>
      </c>
      <c r="B79" s="135">
        <f aca="true" t="shared" si="12" ref="B79:K79">B80+B83</f>
        <v>0</v>
      </c>
      <c r="C79" s="135">
        <f t="shared" si="12"/>
        <v>0</v>
      </c>
      <c r="D79" s="136">
        <f t="shared" si="12"/>
        <v>0</v>
      </c>
      <c r="E79" s="135">
        <f t="shared" si="12"/>
        <v>0</v>
      </c>
      <c r="F79" s="135">
        <f t="shared" si="12"/>
        <v>0</v>
      </c>
      <c r="G79" s="135">
        <f t="shared" si="12"/>
        <v>0</v>
      </c>
      <c r="H79" s="135">
        <f t="shared" si="12"/>
        <v>0</v>
      </c>
      <c r="I79" s="135">
        <f t="shared" si="12"/>
        <v>0</v>
      </c>
      <c r="J79" s="135">
        <f t="shared" si="12"/>
        <v>0</v>
      </c>
      <c r="K79" s="1042">
        <f t="shared" si="12"/>
        <v>0</v>
      </c>
      <c r="L79" s="137"/>
      <c r="M79" s="138"/>
      <c r="N79" s="137"/>
      <c r="O79" s="137"/>
    </row>
    <row r="80" spans="1:12" s="134" customFormat="1" ht="18.75" customHeight="1">
      <c r="A80" s="1018" t="s">
        <v>53</v>
      </c>
      <c r="B80" s="118">
        <f aca="true" t="shared" si="13" ref="B80:K80">SUM(B81:B82)</f>
        <v>0</v>
      </c>
      <c r="C80" s="118">
        <f t="shared" si="13"/>
        <v>0</v>
      </c>
      <c r="D80" s="139">
        <f t="shared" si="13"/>
        <v>0</v>
      </c>
      <c r="E80" s="118">
        <f t="shared" si="13"/>
        <v>0</v>
      </c>
      <c r="F80" s="118">
        <f t="shared" si="13"/>
        <v>0</v>
      </c>
      <c r="G80" s="118">
        <f t="shared" si="13"/>
        <v>0</v>
      </c>
      <c r="H80" s="118">
        <f t="shared" si="13"/>
        <v>0</v>
      </c>
      <c r="I80" s="118">
        <f t="shared" si="13"/>
        <v>0</v>
      </c>
      <c r="J80" s="118">
        <f t="shared" si="13"/>
        <v>0</v>
      </c>
      <c r="K80" s="1039">
        <f t="shared" si="13"/>
        <v>0</v>
      </c>
      <c r="L80" s="137"/>
    </row>
    <row r="81" spans="1:12" s="143" customFormat="1" ht="18.75" customHeight="1">
      <c r="A81" s="1027" t="s">
        <v>54</v>
      </c>
      <c r="B81" s="125"/>
      <c r="C81" s="125"/>
      <c r="D81" s="122"/>
      <c r="E81" s="104"/>
      <c r="F81" s="125"/>
      <c r="G81" s="104"/>
      <c r="H81" s="140"/>
      <c r="I81" s="125"/>
      <c r="J81" s="141"/>
      <c r="K81" s="1039">
        <f>(D81-(H81+I81))</f>
        <v>0</v>
      </c>
      <c r="L81" s="142"/>
    </row>
    <row r="82" spans="1:13" s="143" customFormat="1" ht="18.75" customHeight="1">
      <c r="A82" s="1027" t="s">
        <v>55</v>
      </c>
      <c r="B82" s="125"/>
      <c r="C82" s="125"/>
      <c r="D82" s="122"/>
      <c r="E82" s="104"/>
      <c r="F82" s="125"/>
      <c r="G82" s="104"/>
      <c r="H82" s="140"/>
      <c r="I82" s="125"/>
      <c r="J82" s="141"/>
      <c r="K82" s="1039">
        <f>(D82-(H82+I82))</f>
        <v>0</v>
      </c>
      <c r="L82" s="142"/>
      <c r="M82" s="144"/>
    </row>
    <row r="83" spans="1:15" s="134" customFormat="1" ht="18.75" customHeight="1">
      <c r="A83" s="1018" t="s">
        <v>56</v>
      </c>
      <c r="B83" s="118">
        <f aca="true" t="shared" si="14" ref="B83:K83">SUM(B84:B85)</f>
        <v>0</v>
      </c>
      <c r="C83" s="118">
        <f t="shared" si="14"/>
        <v>0</v>
      </c>
      <c r="D83" s="139">
        <f t="shared" si="14"/>
        <v>0</v>
      </c>
      <c r="E83" s="139">
        <f t="shared" si="14"/>
        <v>0</v>
      </c>
      <c r="F83" s="118">
        <f t="shared" si="14"/>
        <v>0</v>
      </c>
      <c r="G83" s="118">
        <f t="shared" si="14"/>
        <v>0</v>
      </c>
      <c r="H83" s="118">
        <f t="shared" si="14"/>
        <v>0</v>
      </c>
      <c r="I83" s="118">
        <f t="shared" si="14"/>
        <v>0</v>
      </c>
      <c r="J83" s="118">
        <f t="shared" si="14"/>
        <v>0</v>
      </c>
      <c r="K83" s="1039">
        <f t="shared" si="14"/>
        <v>0</v>
      </c>
      <c r="L83" s="145"/>
      <c r="M83" s="137"/>
      <c r="N83" s="137"/>
      <c r="O83" s="137"/>
    </row>
    <row r="84" spans="1:15" s="143" customFormat="1" ht="18.75" customHeight="1">
      <c r="A84" s="1027" t="s">
        <v>54</v>
      </c>
      <c r="B84" s="125"/>
      <c r="C84" s="125"/>
      <c r="D84" s="122"/>
      <c r="E84" s="104"/>
      <c r="F84" s="125"/>
      <c r="G84" s="104"/>
      <c r="H84" s="140"/>
      <c r="I84" s="125"/>
      <c r="J84" s="141"/>
      <c r="K84" s="1039">
        <f>(D84-(H84+I84))</f>
        <v>0</v>
      </c>
      <c r="L84" s="142"/>
      <c r="M84" s="142"/>
      <c r="N84" s="142"/>
      <c r="O84" s="142"/>
    </row>
    <row r="85" spans="1:15" s="143" customFormat="1" ht="18.75" customHeight="1">
      <c r="A85" s="1028" t="s">
        <v>55</v>
      </c>
      <c r="B85" s="146"/>
      <c r="C85" s="146"/>
      <c r="D85" s="147"/>
      <c r="E85" s="104"/>
      <c r="F85" s="146"/>
      <c r="G85" s="104"/>
      <c r="H85" s="140"/>
      <c r="I85" s="146"/>
      <c r="J85" s="112"/>
      <c r="K85" s="1039">
        <f>(D85-(H85+I85))</f>
        <v>0</v>
      </c>
      <c r="L85" s="142"/>
      <c r="M85" s="142"/>
      <c r="N85" s="142"/>
      <c r="O85" s="142"/>
    </row>
    <row r="86" spans="1:12" s="134" customFormat="1" ht="18.75" customHeight="1">
      <c r="A86" s="1029" t="s">
        <v>753</v>
      </c>
      <c r="B86" s="148">
        <f aca="true" t="shared" si="15" ref="B86:K86">B78</f>
        <v>3497698924.0200005</v>
      </c>
      <c r="C86" s="148">
        <f t="shared" si="15"/>
        <v>3959362734.28</v>
      </c>
      <c r="D86" s="1216">
        <f t="shared" si="15"/>
        <v>179544891.0199998</v>
      </c>
      <c r="E86" s="1353">
        <f t="shared" si="15"/>
        <v>3523268770.1299996</v>
      </c>
      <c r="F86" s="1216">
        <f t="shared" si="15"/>
        <v>436093964.1500004</v>
      </c>
      <c r="G86" s="1356">
        <f t="shared" si="15"/>
        <v>784132847.2299999</v>
      </c>
      <c r="H86" s="149">
        <f t="shared" si="15"/>
        <v>3270717032.7899995</v>
      </c>
      <c r="I86" s="149">
        <f t="shared" si="15"/>
        <v>688645701.4900004</v>
      </c>
      <c r="J86" s="1356">
        <f t="shared" si="15"/>
        <v>3165028373.4</v>
      </c>
      <c r="K86" s="1043">
        <f t="shared" si="15"/>
        <v>252551737.33999994</v>
      </c>
      <c r="L86" s="137"/>
    </row>
    <row r="87" spans="1:12" s="120" customFormat="1" ht="18.75" customHeight="1">
      <c r="A87" s="1029" t="s">
        <v>57</v>
      </c>
      <c r="B87" s="150" t="s">
        <v>9</v>
      </c>
      <c r="C87" s="150" t="s">
        <v>9</v>
      </c>
      <c r="D87" s="1217" t="s">
        <v>9</v>
      </c>
      <c r="E87" s="1354" t="s">
        <v>9</v>
      </c>
      <c r="F87" s="1217" t="s">
        <v>9</v>
      </c>
      <c r="G87" s="1217">
        <v>0</v>
      </c>
      <c r="H87" s="151">
        <f>G60-H86-K86</f>
        <v>130572853.50000021</v>
      </c>
      <c r="I87" s="152">
        <v>0</v>
      </c>
      <c r="J87" s="1399">
        <v>0</v>
      </c>
      <c r="K87" s="1044">
        <v>0</v>
      </c>
      <c r="L87" s="153"/>
    </row>
    <row r="88" spans="1:15" s="128" customFormat="1" ht="18.75" customHeight="1">
      <c r="A88" s="1025" t="s">
        <v>754</v>
      </c>
      <c r="B88" s="118">
        <f>B78</f>
        <v>3497698924.0200005</v>
      </c>
      <c r="C88" s="118">
        <f>C78</f>
        <v>3959362734.28</v>
      </c>
      <c r="D88" s="1355">
        <f>D78</f>
        <v>179544891.0199998</v>
      </c>
      <c r="E88" s="1355">
        <f>E78</f>
        <v>3523268770.1299996</v>
      </c>
      <c r="F88" s="1218">
        <f>F78</f>
        <v>436093964.1500004</v>
      </c>
      <c r="G88" s="1355">
        <f>G86+G87</f>
        <v>784132847.2299999</v>
      </c>
      <c r="H88" s="1150">
        <f>H87+H86</f>
        <v>3401289886.2899995</v>
      </c>
      <c r="I88" s="1155">
        <f>I86+I87</f>
        <v>688645701.4900004</v>
      </c>
      <c r="J88" s="1400">
        <f>J86+J87</f>
        <v>3165028373.4</v>
      </c>
      <c r="K88" s="1155">
        <f>K86+K87</f>
        <v>252551737.33999994</v>
      </c>
      <c r="L88" s="154"/>
      <c r="M88" s="155"/>
      <c r="N88" s="155"/>
      <c r="O88" s="155"/>
    </row>
    <row r="89" spans="1:15" s="128" customFormat="1" ht="18.75" customHeight="1">
      <c r="A89" s="1151" t="s">
        <v>50</v>
      </c>
      <c r="B89" s="1152"/>
      <c r="C89" s="1152"/>
      <c r="D89" s="1153"/>
      <c r="E89" s="1153"/>
      <c r="F89" s="1154"/>
      <c r="G89" s="1153"/>
      <c r="H89" s="1153" t="s">
        <v>735</v>
      </c>
      <c r="I89" s="1152"/>
      <c r="J89" s="1153"/>
      <c r="K89" s="1153"/>
      <c r="L89" s="154"/>
      <c r="M89" s="155"/>
      <c r="N89" s="155"/>
      <c r="O89" s="155"/>
    </row>
    <row r="90" spans="1:15" s="128" customFormat="1" ht="18.75" customHeight="1">
      <c r="A90" s="610" t="s">
        <v>58</v>
      </c>
      <c r="B90" s="99"/>
      <c r="C90" s="99"/>
      <c r="D90" s="99"/>
      <c r="E90" s="99"/>
      <c r="F90" s="99"/>
      <c r="G90" s="99"/>
      <c r="H90" s="99"/>
      <c r="I90" s="99"/>
      <c r="J90" s="157"/>
      <c r="K90" s="99"/>
      <c r="L90" s="154"/>
      <c r="M90" s="155"/>
      <c r="N90" s="155"/>
      <c r="O90" s="155"/>
    </row>
    <row r="91" spans="1:15" s="128" customFormat="1" ht="27.75" customHeight="1">
      <c r="A91" s="1566" t="s">
        <v>59</v>
      </c>
      <c r="B91" s="1566"/>
      <c r="C91" s="1566"/>
      <c r="D91" s="1566"/>
      <c r="E91" s="1566"/>
      <c r="F91" s="1566"/>
      <c r="G91" s="1566"/>
      <c r="H91" s="1566"/>
      <c r="I91" s="1566"/>
      <c r="J91" s="1566"/>
      <c r="K91" s="1566"/>
      <c r="L91" s="154"/>
      <c r="M91" s="155"/>
      <c r="N91" s="155"/>
      <c r="O91" s="155"/>
    </row>
    <row r="92" spans="1:15" s="128" customFormat="1" ht="15.75">
      <c r="A92" s="611" t="s">
        <v>60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54"/>
      <c r="M92" s="155"/>
      <c r="N92" s="155"/>
      <c r="O92" s="155"/>
    </row>
    <row r="93" spans="1:15" s="128" customFormat="1" ht="15.75">
      <c r="A93" s="611" t="s">
        <v>61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55"/>
      <c r="M93" s="155"/>
      <c r="N93" s="155"/>
      <c r="O93" s="155"/>
    </row>
    <row r="94" spans="1:15" s="128" customFormat="1" ht="15.75" customHeight="1">
      <c r="A94" s="156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155"/>
      <c r="M94" s="155"/>
      <c r="N94" s="155"/>
      <c r="O94" s="155"/>
    </row>
    <row r="95" spans="1:15" s="102" customFormat="1" ht="15.75" customHeight="1">
      <c r="A95" s="237" t="s">
        <v>952</v>
      </c>
      <c r="B95" s="238"/>
      <c r="C95" s="239"/>
      <c r="D95" s="239"/>
      <c r="E95" s="239"/>
      <c r="F95" s="240"/>
      <c r="G95" s="241"/>
      <c r="H95" s="241"/>
      <c r="I95" s="241"/>
      <c r="J95" s="242"/>
      <c r="K95" s="242"/>
      <c r="M95" s="97"/>
      <c r="N95" s="97"/>
      <c r="O95" s="97"/>
    </row>
    <row r="96" spans="1:15" s="13" customFormat="1" ht="15.75" customHeight="1">
      <c r="A96" s="89"/>
      <c r="B96" s="89"/>
      <c r="C96" s="89"/>
      <c r="D96" s="89"/>
      <c r="E96" s="90"/>
      <c r="F96" s="91"/>
      <c r="G96" s="2"/>
      <c r="H96" s="2"/>
      <c r="I96" s="2"/>
      <c r="J96" s="90"/>
      <c r="K96" s="92"/>
      <c r="M96" s="12"/>
      <c r="N96" s="12"/>
      <c r="O96" s="12"/>
    </row>
    <row r="97" spans="1:21" s="59" customFormat="1" ht="11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M97" s="1420"/>
      <c r="N97" s="1420"/>
      <c r="O97" s="1420"/>
      <c r="P97" s="1420"/>
      <c r="Q97" s="1420"/>
      <c r="R97" s="1420"/>
      <c r="S97" s="1420"/>
      <c r="T97" s="1420"/>
      <c r="U97" s="1420"/>
    </row>
    <row r="98" spans="6:21" ht="15.75" customHeight="1">
      <c r="F98" s="17"/>
      <c r="G98" s="17"/>
      <c r="H98" s="17"/>
      <c r="I98" s="17"/>
      <c r="J98" s="17"/>
      <c r="K98" s="17"/>
      <c r="M98" s="1421"/>
      <c r="N98" s="1421"/>
      <c r="O98" s="1421"/>
      <c r="P98" s="1422"/>
      <c r="Q98" s="1422"/>
      <c r="R98" s="1422"/>
      <c r="S98" s="1422"/>
      <c r="T98" s="1422"/>
      <c r="U98" s="1422"/>
    </row>
    <row r="99" spans="6:21" ht="15.75" customHeight="1">
      <c r="F99" s="17"/>
      <c r="G99" s="17"/>
      <c r="H99" s="17"/>
      <c r="I99" s="17"/>
      <c r="J99" s="17"/>
      <c r="K99" s="17"/>
      <c r="M99" s="1421"/>
      <c r="N99" s="1421"/>
      <c r="O99" s="1421"/>
      <c r="P99" s="1422"/>
      <c r="Q99" s="1422"/>
      <c r="R99" s="1422"/>
      <c r="S99" s="1422"/>
      <c r="T99" s="1422"/>
      <c r="U99" s="1422"/>
    </row>
    <row r="100" spans="6:11" ht="15.75" customHeight="1">
      <c r="F100" s="17"/>
      <c r="G100" s="17"/>
      <c r="H100" s="17"/>
      <c r="I100" s="17"/>
      <c r="J100" s="17"/>
      <c r="K100" s="17"/>
    </row>
    <row r="101" spans="6:11" ht="15.75" customHeight="1">
      <c r="F101" s="17"/>
      <c r="G101" s="17"/>
      <c r="H101" s="17"/>
      <c r="I101" s="17"/>
      <c r="J101" s="17"/>
      <c r="K101" s="17"/>
    </row>
    <row r="103" ht="15.75" customHeight="1">
      <c r="L103" s="94"/>
    </row>
  </sheetData>
  <sheetProtection/>
  <mergeCells count="121">
    <mergeCell ref="D29:E29"/>
    <mergeCell ref="D23:E23"/>
    <mergeCell ref="G23:I23"/>
    <mergeCell ref="G59:I59"/>
    <mergeCell ref="G2:H2"/>
    <mergeCell ref="J63:J65"/>
    <mergeCell ref="I63:I65"/>
    <mergeCell ref="D63:E63"/>
    <mergeCell ref="F63:F65"/>
    <mergeCell ref="G63:H64"/>
    <mergeCell ref="G65:G66"/>
    <mergeCell ref="D9:E9"/>
    <mergeCell ref="G9:I9"/>
    <mergeCell ref="D10:E10"/>
    <mergeCell ref="G10:I10"/>
    <mergeCell ref="D11:E11"/>
    <mergeCell ref="G11:I11"/>
    <mergeCell ref="D12:E12"/>
    <mergeCell ref="G12:I12"/>
    <mergeCell ref="D13:E13"/>
    <mergeCell ref="G13:I13"/>
    <mergeCell ref="D14:E14"/>
    <mergeCell ref="G14:I14"/>
    <mergeCell ref="D15:E15"/>
    <mergeCell ref="G15:I15"/>
    <mergeCell ref="D16:E16"/>
    <mergeCell ref="G16:I16"/>
    <mergeCell ref="G22:I22"/>
    <mergeCell ref="D24:E24"/>
    <mergeCell ref="G24:I24"/>
    <mergeCell ref="D25:E25"/>
    <mergeCell ref="D17:E17"/>
    <mergeCell ref="G17:I17"/>
    <mergeCell ref="D18:E18"/>
    <mergeCell ref="G18:I18"/>
    <mergeCell ref="D19:E19"/>
    <mergeCell ref="G19:I19"/>
    <mergeCell ref="D28:E28"/>
    <mergeCell ref="G28:I28"/>
    <mergeCell ref="D30:E30"/>
    <mergeCell ref="G30:I30"/>
    <mergeCell ref="D20:E20"/>
    <mergeCell ref="G20:I20"/>
    <mergeCell ref="G26:I26"/>
    <mergeCell ref="D21:E21"/>
    <mergeCell ref="G21:I21"/>
    <mergeCell ref="D22:E22"/>
    <mergeCell ref="D26:E26"/>
    <mergeCell ref="D36:E36"/>
    <mergeCell ref="G36:I36"/>
    <mergeCell ref="D37:E37"/>
    <mergeCell ref="G37:I37"/>
    <mergeCell ref="G35:I35"/>
    <mergeCell ref="D31:E31"/>
    <mergeCell ref="G31:I31"/>
    <mergeCell ref="G29:I29"/>
    <mergeCell ref="G27:I27"/>
    <mergeCell ref="D38:E38"/>
    <mergeCell ref="G38:I38"/>
    <mergeCell ref="D39:E39"/>
    <mergeCell ref="G39:I39"/>
    <mergeCell ref="D40:E40"/>
    <mergeCell ref="G40:I40"/>
    <mergeCell ref="D41:E41"/>
    <mergeCell ref="G41:I41"/>
    <mergeCell ref="D42:E42"/>
    <mergeCell ref="G42:I42"/>
    <mergeCell ref="D44:E44"/>
    <mergeCell ref="G44:I44"/>
    <mergeCell ref="D43:E43"/>
    <mergeCell ref="G43:I43"/>
    <mergeCell ref="D45:E45"/>
    <mergeCell ref="G45:I45"/>
    <mergeCell ref="D46:E46"/>
    <mergeCell ref="G46:I46"/>
    <mergeCell ref="D47:E47"/>
    <mergeCell ref="G47:I47"/>
    <mergeCell ref="D48:E48"/>
    <mergeCell ref="G48:I48"/>
    <mergeCell ref="D49:E49"/>
    <mergeCell ref="G49:I49"/>
    <mergeCell ref="D50:E50"/>
    <mergeCell ref="G50:I50"/>
    <mergeCell ref="G51:I51"/>
    <mergeCell ref="G52:I52"/>
    <mergeCell ref="G53:I53"/>
    <mergeCell ref="G54:I54"/>
    <mergeCell ref="D53:E53"/>
    <mergeCell ref="D54:E54"/>
    <mergeCell ref="D51:E51"/>
    <mergeCell ref="D52:E52"/>
    <mergeCell ref="A91:K91"/>
    <mergeCell ref="K63:K65"/>
    <mergeCell ref="D60:E60"/>
    <mergeCell ref="G60:I60"/>
    <mergeCell ref="D61:E61"/>
    <mergeCell ref="G56:I56"/>
    <mergeCell ref="G57:I57"/>
    <mergeCell ref="D58:E58"/>
    <mergeCell ref="G58:I58"/>
    <mergeCell ref="D56:E56"/>
    <mergeCell ref="A34:A35"/>
    <mergeCell ref="G61:I61"/>
    <mergeCell ref="G55:I55"/>
    <mergeCell ref="A8:A9"/>
    <mergeCell ref="B8:B9"/>
    <mergeCell ref="C8:C9"/>
    <mergeCell ref="D8:J8"/>
    <mergeCell ref="D59:E59"/>
    <mergeCell ref="D57:E57"/>
    <mergeCell ref="D55:E55"/>
    <mergeCell ref="K8:K9"/>
    <mergeCell ref="B34:B35"/>
    <mergeCell ref="C34:C35"/>
    <mergeCell ref="D34:J34"/>
    <mergeCell ref="K34:K35"/>
    <mergeCell ref="D35:E35"/>
    <mergeCell ref="D32:E32"/>
    <mergeCell ref="G32:I32"/>
    <mergeCell ref="D27:E27"/>
    <mergeCell ref="G25:I25"/>
  </mergeCells>
  <printOptions horizontalCentered="1"/>
  <pageMargins left="0" right="0" top="0.7874015748031497" bottom="0.3937007874015748" header="0.5118110236220472" footer="0.5118110236220472"/>
  <pageSetup fitToHeight="0" horizontalDpi="600" verticalDpi="600" orientation="landscape" paperSize="9" scale="60" r:id="rId4"/>
  <headerFooter scaleWithDoc="0">
    <oddFooter>&amp;L&amp;8Publicação: Diário Oficial do Município nº 19
Data: 28.01.2021
&amp;R&amp;8&amp;P / &amp;N</oddFooter>
  </headerFooter>
  <rowBreaks count="2" manualBreakCount="2">
    <brk id="33" max="10" man="1"/>
    <brk id="62" max="10" man="1"/>
  </rowBreaks>
  <ignoredErrors>
    <ignoredError sqref="D18 D72:F72 C15 G72:H72 F11 D55 K83 I72 K40 K44 K47 K18 K15 K72 H88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I1:U189"/>
  <sheetViews>
    <sheetView showGridLines="0" view="pageBreakPreview" zoomScaleSheetLayoutView="100" zoomScalePageLayoutView="0" workbookViewId="0" topLeftCell="A1">
      <selection activeCell="I97" sqref="I97:M97"/>
    </sheetView>
  </sheetViews>
  <sheetFormatPr defaultColWidth="8.8515625" defaultRowHeight="12.75"/>
  <cols>
    <col min="1" max="8" width="8.8515625" style="250" customWidth="1"/>
    <col min="9" max="9" width="12.421875" style="353" customWidth="1"/>
    <col min="10" max="12" width="23.7109375" style="250" customWidth="1"/>
    <col min="13" max="13" width="28.28125" style="353" customWidth="1"/>
    <col min="14" max="14" width="24.421875" style="250" customWidth="1"/>
    <col min="15" max="15" width="16.8515625" style="250" bestFit="1" customWidth="1"/>
    <col min="16" max="16384" width="8.8515625" style="250" customWidth="1"/>
  </cols>
  <sheetData>
    <row r="1" spans="9:14" ht="14.25">
      <c r="I1" s="2139" t="s">
        <v>168</v>
      </c>
      <c r="J1" s="2139"/>
      <c r="K1" s="2139"/>
      <c r="L1" s="2139"/>
      <c r="M1" s="2139"/>
      <c r="N1" s="390"/>
    </row>
    <row r="2" spans="9:14" ht="14.25">
      <c r="I2" s="2139" t="s">
        <v>0</v>
      </c>
      <c r="J2" s="2139"/>
      <c r="K2" s="2139"/>
      <c r="L2" s="2139"/>
      <c r="M2" s="2139"/>
      <c r="N2" s="390"/>
    </row>
    <row r="3" spans="9:14" ht="15">
      <c r="I3" s="2140" t="s">
        <v>972</v>
      </c>
      <c r="J3" s="2140"/>
      <c r="K3" s="2140"/>
      <c r="L3" s="2140"/>
      <c r="M3" s="2140"/>
      <c r="N3" s="420"/>
    </row>
    <row r="4" spans="9:14" ht="14.25">
      <c r="I4" s="2139" t="s">
        <v>143</v>
      </c>
      <c r="J4" s="2139"/>
      <c r="K4" s="2139"/>
      <c r="L4" s="2139"/>
      <c r="M4" s="2139"/>
      <c r="N4" s="390"/>
    </row>
    <row r="5" spans="9:15" ht="14.25">
      <c r="I5" s="2141" t="s">
        <v>1005</v>
      </c>
      <c r="J5" s="2141"/>
      <c r="K5" s="2141"/>
      <c r="L5" s="1467"/>
      <c r="M5" s="1468"/>
      <c r="N5" s="422"/>
      <c r="O5" s="422"/>
    </row>
    <row r="6" spans="9:15" ht="14.25">
      <c r="I6" s="346"/>
      <c r="J6" s="352"/>
      <c r="K6" s="352"/>
      <c r="L6" s="352"/>
      <c r="M6" s="455"/>
      <c r="N6" s="377"/>
      <c r="O6" s="377"/>
    </row>
    <row r="7" spans="9:14" ht="14.25">
      <c r="I7" s="352" t="s">
        <v>973</v>
      </c>
      <c r="J7" s="390"/>
      <c r="K7" s="390"/>
      <c r="L7" s="390"/>
      <c r="M7" s="1469"/>
      <c r="N7" s="390"/>
    </row>
    <row r="8" spans="9:14" ht="14.25">
      <c r="I8" s="2136" t="s">
        <v>522</v>
      </c>
      <c r="J8" s="2136"/>
      <c r="K8" s="2136"/>
      <c r="L8" s="2136"/>
      <c r="M8" s="2136"/>
      <c r="N8" s="390"/>
    </row>
    <row r="9" spans="9:14" ht="14.25">
      <c r="I9" s="1471"/>
      <c r="J9" s="1472" t="s">
        <v>974</v>
      </c>
      <c r="K9" s="1473" t="s">
        <v>34</v>
      </c>
      <c r="L9" s="1471" t="s">
        <v>975</v>
      </c>
      <c r="M9" s="2133" t="s">
        <v>976</v>
      </c>
      <c r="N9" s="390"/>
    </row>
    <row r="10" spans="9:14" ht="14.25">
      <c r="I10" s="1474" t="s">
        <v>183</v>
      </c>
      <c r="J10" s="1474" t="s">
        <v>977</v>
      </c>
      <c r="K10" s="1474" t="s">
        <v>977</v>
      </c>
      <c r="L10" s="1475" t="s">
        <v>978</v>
      </c>
      <c r="M10" s="2134"/>
      <c r="N10" s="1476"/>
    </row>
    <row r="11" spans="9:14" ht="14.25">
      <c r="I11" s="1477"/>
      <c r="J11" s="1477" t="s">
        <v>66</v>
      </c>
      <c r="K11" s="1477" t="s">
        <v>67</v>
      </c>
      <c r="L11" s="1478" t="s">
        <v>959</v>
      </c>
      <c r="M11" s="2135"/>
      <c r="N11" s="390"/>
    </row>
    <row r="12" spans="9:14" ht="13.5" customHeight="1">
      <c r="I12" s="1470">
        <v>2019</v>
      </c>
      <c r="J12" s="1521">
        <v>36322169.29</v>
      </c>
      <c r="K12" s="1521">
        <v>17326219.98</v>
      </c>
      <c r="L12" s="1479"/>
      <c r="M12" s="1480"/>
      <c r="N12" s="390"/>
    </row>
    <row r="13" spans="9:15" ht="13.5" customHeight="1">
      <c r="I13" s="1470">
        <v>2020</v>
      </c>
      <c r="J13" s="1521">
        <v>37874888.33</v>
      </c>
      <c r="K13" s="1521">
        <v>19805306.65</v>
      </c>
      <c r="L13" s="1481">
        <f aca="true" t="shared" si="0" ref="L13:L75">J13-K13</f>
        <v>18069581.68</v>
      </c>
      <c r="M13" s="1480">
        <f aca="true" t="shared" si="1" ref="M13:M57">M12+L13</f>
        <v>18069581.68</v>
      </c>
      <c r="N13" s="390"/>
      <c r="O13" s="361"/>
    </row>
    <row r="14" spans="9:15" ht="13.5" customHeight="1">
      <c r="I14" s="1470">
        <v>2021</v>
      </c>
      <c r="J14" s="1521">
        <v>39476786.41</v>
      </c>
      <c r="K14" s="1521">
        <v>22237891.86</v>
      </c>
      <c r="L14" s="1481">
        <f t="shared" si="0"/>
        <v>17238894.549999997</v>
      </c>
      <c r="M14" s="1480">
        <f t="shared" si="1"/>
        <v>35308476.23</v>
      </c>
      <c r="N14" s="390"/>
      <c r="O14" s="361"/>
    </row>
    <row r="15" spans="9:14" ht="13.5" customHeight="1">
      <c r="I15" s="1470">
        <v>2022</v>
      </c>
      <c r="J15" s="1521">
        <v>41191940.53</v>
      </c>
      <c r="K15" s="1521">
        <v>24647154.81</v>
      </c>
      <c r="L15" s="1481">
        <f t="shared" si="0"/>
        <v>16544785.720000003</v>
      </c>
      <c r="M15" s="1480">
        <f t="shared" si="1"/>
        <v>51853261.95</v>
      </c>
      <c r="N15" s="390"/>
    </row>
    <row r="16" spans="9:14" ht="13.5" customHeight="1">
      <c r="I16" s="1470">
        <v>2023</v>
      </c>
      <c r="J16" s="1521">
        <v>42792978.39</v>
      </c>
      <c r="K16" s="1521">
        <v>28029229.6</v>
      </c>
      <c r="L16" s="1481">
        <f t="shared" si="0"/>
        <v>14763748.79</v>
      </c>
      <c r="M16" s="1480">
        <f t="shared" si="1"/>
        <v>66617010.74</v>
      </c>
      <c r="N16" s="390"/>
    </row>
    <row r="17" spans="9:14" ht="13.5" customHeight="1">
      <c r="I17" s="1470">
        <v>2024</v>
      </c>
      <c r="J17" s="1521">
        <v>44515166.68</v>
      </c>
      <c r="K17" s="1521">
        <v>31391272.99</v>
      </c>
      <c r="L17" s="1481">
        <f t="shared" si="0"/>
        <v>13123893.690000001</v>
      </c>
      <c r="M17" s="1480">
        <f t="shared" si="1"/>
        <v>79740904.43</v>
      </c>
      <c r="N17" s="390"/>
    </row>
    <row r="18" spans="9:14" ht="13.5" customHeight="1">
      <c r="I18" s="1470">
        <v>2025</v>
      </c>
      <c r="J18" s="1521">
        <v>46067856.67</v>
      </c>
      <c r="K18" s="1521">
        <v>37083229</v>
      </c>
      <c r="L18" s="1481">
        <f t="shared" si="0"/>
        <v>8984627.670000002</v>
      </c>
      <c r="M18" s="1480">
        <f t="shared" si="1"/>
        <v>88725532.10000001</v>
      </c>
      <c r="N18" s="390"/>
    </row>
    <row r="19" spans="9:14" ht="13.5" customHeight="1">
      <c r="I19" s="1470">
        <v>2026</v>
      </c>
      <c r="J19" s="1521">
        <v>47700254.42</v>
      </c>
      <c r="K19" s="1521">
        <v>42338970.72</v>
      </c>
      <c r="L19" s="1481">
        <f t="shared" si="0"/>
        <v>5361283.700000003</v>
      </c>
      <c r="M19" s="1480">
        <f t="shared" si="1"/>
        <v>94086815.80000001</v>
      </c>
      <c r="N19" s="390"/>
    </row>
    <row r="20" spans="9:14" ht="13.5" customHeight="1">
      <c r="I20" s="1470">
        <v>2027</v>
      </c>
      <c r="J20" s="1521">
        <v>49250717.54</v>
      </c>
      <c r="K20" s="1521">
        <v>48138698.25</v>
      </c>
      <c r="L20" s="1481">
        <f t="shared" si="0"/>
        <v>1112019.289999999</v>
      </c>
      <c r="M20" s="1480">
        <f t="shared" si="1"/>
        <v>95198835.09</v>
      </c>
      <c r="N20" s="390"/>
    </row>
    <row r="21" spans="9:14" ht="13.5" customHeight="1">
      <c r="I21" s="1470">
        <v>2028</v>
      </c>
      <c r="J21" s="1521">
        <v>50872388.18</v>
      </c>
      <c r="K21" s="1521">
        <v>54090716.65</v>
      </c>
      <c r="L21" s="1481">
        <f t="shared" si="0"/>
        <v>-3218328.469999999</v>
      </c>
      <c r="M21" s="1480">
        <f t="shared" si="1"/>
        <v>91980506.62</v>
      </c>
      <c r="N21" s="390"/>
    </row>
    <row r="22" spans="9:14" ht="13.5" customHeight="1">
      <c r="I22" s="1470">
        <v>2029</v>
      </c>
      <c r="J22" s="1521">
        <v>52264185.17</v>
      </c>
      <c r="K22" s="1521">
        <v>61884328.56</v>
      </c>
      <c r="L22" s="1481">
        <f t="shared" si="0"/>
        <v>-9620143.39</v>
      </c>
      <c r="M22" s="1480">
        <f t="shared" si="1"/>
        <v>82360363.23</v>
      </c>
      <c r="N22" s="390"/>
    </row>
    <row r="23" spans="9:14" ht="13.5" customHeight="1">
      <c r="I23" s="1470">
        <v>2030</v>
      </c>
      <c r="J23" s="1521">
        <v>53660234.19</v>
      </c>
      <c r="K23" s="1521">
        <v>70405197.69</v>
      </c>
      <c r="L23" s="1481">
        <f t="shared" si="0"/>
        <v>-16744963.5</v>
      </c>
      <c r="M23" s="1480">
        <f t="shared" si="1"/>
        <v>65615399.730000004</v>
      </c>
      <c r="N23" s="390"/>
    </row>
    <row r="24" spans="9:14" ht="13.5" customHeight="1">
      <c r="I24" s="1470">
        <v>2031</v>
      </c>
      <c r="J24" s="1521">
        <v>54999411.35</v>
      </c>
      <c r="K24" s="1521">
        <v>80042657.72</v>
      </c>
      <c r="L24" s="1481">
        <f t="shared" si="0"/>
        <v>-25043246.369999997</v>
      </c>
      <c r="M24" s="1480">
        <f t="shared" si="1"/>
        <v>40572153.36000001</v>
      </c>
      <c r="N24" s="390"/>
    </row>
    <row r="25" spans="9:14" ht="13.5" customHeight="1">
      <c r="I25" s="1470">
        <v>2032</v>
      </c>
      <c r="J25" s="1521">
        <v>56198063.4</v>
      </c>
      <c r="K25" s="1521">
        <v>89932799.75</v>
      </c>
      <c r="L25" s="1481">
        <f t="shared" si="0"/>
        <v>-33734736.35</v>
      </c>
      <c r="M25" s="1480">
        <f t="shared" si="1"/>
        <v>6837417.010000005</v>
      </c>
      <c r="N25" s="390"/>
    </row>
    <row r="26" spans="9:14" ht="13.5" customHeight="1">
      <c r="I26" s="1470">
        <v>2033</v>
      </c>
      <c r="J26" s="1521">
        <v>55668078.38</v>
      </c>
      <c r="K26" s="1521">
        <v>108456731.83</v>
      </c>
      <c r="L26" s="1481">
        <f t="shared" si="0"/>
        <v>-52788653.449999996</v>
      </c>
      <c r="M26" s="1480">
        <f t="shared" si="1"/>
        <v>-45951236.43999999</v>
      </c>
      <c r="N26" s="390"/>
    </row>
    <row r="27" spans="9:14" ht="13.5" customHeight="1">
      <c r="I27" s="1470">
        <v>2034</v>
      </c>
      <c r="J27" s="1521">
        <v>54406311.1</v>
      </c>
      <c r="K27" s="1521">
        <v>129616602.56</v>
      </c>
      <c r="L27" s="1481">
        <f t="shared" si="0"/>
        <v>-75210291.46000001</v>
      </c>
      <c r="M27" s="1480">
        <f t="shared" si="1"/>
        <v>-121161527.9</v>
      </c>
      <c r="N27" s="390"/>
    </row>
    <row r="28" spans="9:14" ht="13.5" customHeight="1">
      <c r="I28" s="1470">
        <v>2035</v>
      </c>
      <c r="J28" s="1521">
        <v>53286278.88</v>
      </c>
      <c r="K28" s="1521">
        <v>150494354.57</v>
      </c>
      <c r="L28" s="1481">
        <f t="shared" si="0"/>
        <v>-97208075.69</v>
      </c>
      <c r="M28" s="1480">
        <f t="shared" si="1"/>
        <v>-218369603.59</v>
      </c>
      <c r="N28" s="390"/>
    </row>
    <row r="29" spans="9:14" ht="13.5" customHeight="1">
      <c r="I29" s="1470">
        <v>2036</v>
      </c>
      <c r="J29" s="1521">
        <v>52240600.94</v>
      </c>
      <c r="K29" s="1521">
        <v>170863045.89</v>
      </c>
      <c r="L29" s="1481">
        <f t="shared" si="0"/>
        <v>-118622444.94999999</v>
      </c>
      <c r="M29" s="1480">
        <f t="shared" si="1"/>
        <v>-336992048.53999996</v>
      </c>
      <c r="N29" s="390"/>
    </row>
    <row r="30" spans="9:14" ht="13.5" customHeight="1">
      <c r="I30" s="1470">
        <v>2037</v>
      </c>
      <c r="J30" s="1521">
        <v>49744287.9</v>
      </c>
      <c r="K30" s="1521">
        <v>197402004.54</v>
      </c>
      <c r="L30" s="1481">
        <f t="shared" si="0"/>
        <v>-147657716.64</v>
      </c>
      <c r="M30" s="1480">
        <f t="shared" si="1"/>
        <v>-484649765.17999995</v>
      </c>
      <c r="N30" s="390"/>
    </row>
    <row r="31" spans="9:14" ht="13.5" customHeight="1">
      <c r="I31" s="1470">
        <v>2038</v>
      </c>
      <c r="J31" s="1521">
        <v>48235264.17</v>
      </c>
      <c r="K31" s="1521">
        <v>219721544.84</v>
      </c>
      <c r="L31" s="1481">
        <f t="shared" si="0"/>
        <v>-171486280.67000002</v>
      </c>
      <c r="M31" s="1480">
        <f t="shared" si="1"/>
        <v>-656136045.8499999</v>
      </c>
      <c r="N31" s="390"/>
    </row>
    <row r="32" spans="9:14" ht="13.5" customHeight="1">
      <c r="I32" s="1470">
        <v>2039</v>
      </c>
      <c r="J32" s="1521">
        <v>47038774.44</v>
      </c>
      <c r="K32" s="1521">
        <v>242688634.71</v>
      </c>
      <c r="L32" s="1481">
        <f t="shared" si="0"/>
        <v>-195649860.27</v>
      </c>
      <c r="M32" s="1480">
        <f t="shared" si="1"/>
        <v>-851785906.1199999</v>
      </c>
      <c r="N32" s="390"/>
    </row>
    <row r="33" spans="9:14" ht="13.5" customHeight="1">
      <c r="I33" s="1470">
        <v>2040</v>
      </c>
      <c r="J33" s="1521">
        <v>45353018.49</v>
      </c>
      <c r="K33" s="1521">
        <v>268126896.17</v>
      </c>
      <c r="L33" s="1481">
        <f t="shared" si="0"/>
        <v>-222773877.67999998</v>
      </c>
      <c r="M33" s="1480">
        <f t="shared" si="1"/>
        <v>-1074559783.8</v>
      </c>
      <c r="N33" s="390"/>
    </row>
    <row r="34" spans="9:14" ht="13.5" customHeight="1">
      <c r="I34" s="1470">
        <v>2041</v>
      </c>
      <c r="J34" s="1521">
        <v>44015861.92</v>
      </c>
      <c r="K34" s="1521">
        <v>290788048.45</v>
      </c>
      <c r="L34" s="1481">
        <f t="shared" si="0"/>
        <v>-246772186.52999997</v>
      </c>
      <c r="M34" s="1480">
        <f t="shared" si="1"/>
        <v>-1321331970.33</v>
      </c>
      <c r="N34" s="390"/>
    </row>
    <row r="35" spans="9:14" ht="13.5" customHeight="1">
      <c r="I35" s="1470">
        <v>2042</v>
      </c>
      <c r="J35" s="1521">
        <v>41777240.95</v>
      </c>
      <c r="K35" s="1521">
        <v>317686874.36</v>
      </c>
      <c r="L35" s="1481">
        <f t="shared" si="0"/>
        <v>-275909633.41</v>
      </c>
      <c r="M35" s="1480">
        <f t="shared" si="1"/>
        <v>-1597241603.74</v>
      </c>
      <c r="N35" s="390"/>
    </row>
    <row r="36" spans="9:14" ht="13.5" customHeight="1">
      <c r="I36" s="1470">
        <v>2043</v>
      </c>
      <c r="J36" s="1521">
        <v>39210470.89</v>
      </c>
      <c r="K36" s="1521">
        <v>345896515.02</v>
      </c>
      <c r="L36" s="1481">
        <f t="shared" si="0"/>
        <v>-306686044.13</v>
      </c>
      <c r="M36" s="1480">
        <f t="shared" si="1"/>
        <v>-1903927647.87</v>
      </c>
      <c r="N36" s="390"/>
    </row>
    <row r="37" spans="9:14" ht="13.5" customHeight="1">
      <c r="I37" s="1470">
        <v>2044</v>
      </c>
      <c r="J37" s="1521">
        <v>36831709.42</v>
      </c>
      <c r="K37" s="1521">
        <v>373350417.75</v>
      </c>
      <c r="L37" s="1481">
        <f t="shared" si="0"/>
        <v>-336518708.33</v>
      </c>
      <c r="M37" s="1480">
        <f t="shared" si="1"/>
        <v>-2240446356.2</v>
      </c>
      <c r="N37" s="390"/>
    </row>
    <row r="38" spans="9:14" ht="13.5" customHeight="1">
      <c r="I38" s="1470">
        <v>2045</v>
      </c>
      <c r="J38" s="1521">
        <v>34697109.42</v>
      </c>
      <c r="K38" s="1521">
        <v>398570253.53</v>
      </c>
      <c r="L38" s="1481">
        <f t="shared" si="0"/>
        <v>-363873144.10999995</v>
      </c>
      <c r="M38" s="1480">
        <f t="shared" si="1"/>
        <v>-2604319500.31</v>
      </c>
      <c r="N38" s="390"/>
    </row>
    <row r="39" spans="9:14" ht="13.5" customHeight="1">
      <c r="I39" s="1470">
        <v>2046</v>
      </c>
      <c r="J39" s="1521">
        <v>33068094.76</v>
      </c>
      <c r="K39" s="1521">
        <v>421176888.84</v>
      </c>
      <c r="L39" s="1481">
        <f t="shared" si="0"/>
        <v>-388108794.08</v>
      </c>
      <c r="M39" s="1480">
        <f t="shared" si="1"/>
        <v>-2992428294.39</v>
      </c>
      <c r="N39" s="390"/>
    </row>
    <row r="40" spans="9:14" ht="13.5" customHeight="1">
      <c r="I40" s="1470">
        <v>2047</v>
      </c>
      <c r="J40" s="1521">
        <v>31552341.74</v>
      </c>
      <c r="K40" s="1521">
        <v>443715739.37</v>
      </c>
      <c r="L40" s="1481">
        <f t="shared" si="0"/>
        <v>-412163397.63</v>
      </c>
      <c r="M40" s="1480">
        <f t="shared" si="1"/>
        <v>-3404591692.02</v>
      </c>
      <c r="N40" s="390"/>
    </row>
    <row r="41" spans="9:14" ht="13.5" customHeight="1">
      <c r="I41" s="1470">
        <v>2048</v>
      </c>
      <c r="J41" s="1521">
        <v>30500237.36</v>
      </c>
      <c r="K41" s="1521">
        <v>461658152.93</v>
      </c>
      <c r="L41" s="1481">
        <f t="shared" si="0"/>
        <v>-431157915.57</v>
      </c>
      <c r="M41" s="1480">
        <f t="shared" si="1"/>
        <v>-3835749607.59</v>
      </c>
      <c r="N41" s="390"/>
    </row>
    <row r="42" spans="9:14" ht="13.5" customHeight="1">
      <c r="I42" s="1470">
        <v>2049</v>
      </c>
      <c r="J42" s="1521">
        <v>29503701.79</v>
      </c>
      <c r="K42" s="1521">
        <v>479231186.22</v>
      </c>
      <c r="L42" s="1481">
        <f t="shared" si="0"/>
        <v>-449727484.43</v>
      </c>
      <c r="M42" s="1480">
        <f t="shared" si="1"/>
        <v>-4285477092.02</v>
      </c>
      <c r="N42" s="390"/>
    </row>
    <row r="43" spans="9:14" ht="13.5" customHeight="1">
      <c r="I43" s="1470">
        <v>2050</v>
      </c>
      <c r="J43" s="1521">
        <v>28966076.43</v>
      </c>
      <c r="K43" s="1521">
        <v>493591729.6</v>
      </c>
      <c r="L43" s="1481">
        <f t="shared" si="0"/>
        <v>-464625653.17</v>
      </c>
      <c r="M43" s="1480">
        <f t="shared" si="1"/>
        <v>-4750102745.19</v>
      </c>
      <c r="N43" s="390"/>
    </row>
    <row r="44" spans="9:14" ht="13.5" customHeight="1">
      <c r="I44" s="1470">
        <v>2051</v>
      </c>
      <c r="J44" s="1521">
        <v>28807783.79</v>
      </c>
      <c r="K44" s="1521">
        <v>504628198.62</v>
      </c>
      <c r="L44" s="1481">
        <f t="shared" si="0"/>
        <v>-475820414.83</v>
      </c>
      <c r="M44" s="1480">
        <f t="shared" si="1"/>
        <v>-5225923160.0199995</v>
      </c>
      <c r="N44" s="390"/>
    </row>
    <row r="45" spans="9:14" ht="13.5" customHeight="1">
      <c r="I45" s="1470">
        <v>2052</v>
      </c>
      <c r="J45" s="1521">
        <v>28392600.69</v>
      </c>
      <c r="K45" s="1521">
        <v>515483976.99</v>
      </c>
      <c r="L45" s="1481">
        <f t="shared" si="0"/>
        <v>-487091376.3</v>
      </c>
      <c r="M45" s="1480">
        <f t="shared" si="1"/>
        <v>-5713014536.32</v>
      </c>
      <c r="N45" s="390"/>
    </row>
    <row r="46" spans="9:14" ht="13.5" customHeight="1">
      <c r="I46" s="1470">
        <v>2053</v>
      </c>
      <c r="J46" s="1521">
        <v>27877282.2</v>
      </c>
      <c r="K46" s="1521">
        <v>525367097.8</v>
      </c>
      <c r="L46" s="1481">
        <f t="shared" si="0"/>
        <v>-497489815.6</v>
      </c>
      <c r="M46" s="1480">
        <f t="shared" si="1"/>
        <v>-6210504351.92</v>
      </c>
      <c r="N46" s="390"/>
    </row>
    <row r="47" spans="9:14" ht="13.5" customHeight="1">
      <c r="I47" s="1470">
        <v>2054</v>
      </c>
      <c r="J47" s="1521">
        <v>27891069.1</v>
      </c>
      <c r="K47" s="1521">
        <v>531494956.3</v>
      </c>
      <c r="L47" s="1481">
        <f t="shared" si="0"/>
        <v>-503603887.2</v>
      </c>
      <c r="M47" s="1480">
        <f t="shared" si="1"/>
        <v>-6714108239.12</v>
      </c>
      <c r="N47" s="390"/>
    </row>
    <row r="48" spans="9:14" ht="13.5" customHeight="1">
      <c r="I48" s="1470">
        <v>2055</v>
      </c>
      <c r="J48" s="1521">
        <v>27822425.46</v>
      </c>
      <c r="K48" s="1521">
        <v>536436552.61</v>
      </c>
      <c r="L48" s="1481">
        <f t="shared" si="0"/>
        <v>-508614127.15000004</v>
      </c>
      <c r="M48" s="1480">
        <f t="shared" si="1"/>
        <v>-7222722366.2699995</v>
      </c>
      <c r="N48" s="390"/>
    </row>
    <row r="49" spans="9:14" ht="13.5" customHeight="1">
      <c r="I49" s="1470">
        <v>2056</v>
      </c>
      <c r="J49" s="1521">
        <v>27850359.98</v>
      </c>
      <c r="K49" s="1521">
        <v>539220308.21</v>
      </c>
      <c r="L49" s="1481">
        <f t="shared" si="0"/>
        <v>-511369948.23</v>
      </c>
      <c r="M49" s="1480">
        <f t="shared" si="1"/>
        <v>-7734092314.5</v>
      </c>
      <c r="N49" s="390"/>
    </row>
    <row r="50" spans="9:14" ht="13.5" customHeight="1">
      <c r="I50" s="1470">
        <v>2057</v>
      </c>
      <c r="J50" s="1521">
        <v>27806318.63</v>
      </c>
      <c r="K50" s="1521">
        <v>540424109.6</v>
      </c>
      <c r="L50" s="1481">
        <f t="shared" si="0"/>
        <v>-512617790.97</v>
      </c>
      <c r="M50" s="1480">
        <f t="shared" si="1"/>
        <v>-8246710105.47</v>
      </c>
      <c r="N50" s="390"/>
    </row>
    <row r="51" spans="9:14" ht="13.5" customHeight="1">
      <c r="I51" s="1470">
        <v>2058</v>
      </c>
      <c r="J51" s="1521">
        <v>27672081.99</v>
      </c>
      <c r="K51" s="1521">
        <v>539959478.35</v>
      </c>
      <c r="L51" s="1481">
        <f t="shared" si="0"/>
        <v>-512287396.36</v>
      </c>
      <c r="M51" s="1480">
        <f t="shared" si="1"/>
        <v>-8758997501.83</v>
      </c>
      <c r="N51" s="390"/>
    </row>
    <row r="52" spans="9:14" ht="13.5" customHeight="1">
      <c r="I52" s="1470">
        <v>2059</v>
      </c>
      <c r="J52" s="1521">
        <v>27442039.95</v>
      </c>
      <c r="K52" s="1521">
        <v>537694483.86</v>
      </c>
      <c r="L52" s="1481">
        <f t="shared" si="0"/>
        <v>-510252443.91</v>
      </c>
      <c r="M52" s="1480">
        <f t="shared" si="1"/>
        <v>-9269249945.74</v>
      </c>
      <c r="N52" s="390"/>
    </row>
    <row r="53" spans="9:14" ht="13.5" customHeight="1">
      <c r="I53" s="1470">
        <v>2060</v>
      </c>
      <c r="J53" s="1521">
        <v>27112007.58</v>
      </c>
      <c r="K53" s="1521">
        <v>533531166.4</v>
      </c>
      <c r="L53" s="1481">
        <f t="shared" si="0"/>
        <v>-506419158.82</v>
      </c>
      <c r="M53" s="1480">
        <f t="shared" si="1"/>
        <v>-9775669104.56</v>
      </c>
      <c r="N53" s="390"/>
    </row>
    <row r="54" spans="9:14" ht="13.5" customHeight="1">
      <c r="I54" s="1470">
        <v>2061</v>
      </c>
      <c r="J54" s="1521">
        <v>26678786.31</v>
      </c>
      <c r="K54" s="1521">
        <v>527367140.15</v>
      </c>
      <c r="L54" s="1481">
        <f t="shared" si="0"/>
        <v>-500688353.84</v>
      </c>
      <c r="M54" s="1480">
        <f t="shared" si="1"/>
        <v>-10276357458.4</v>
      </c>
      <c r="N54" s="390"/>
    </row>
    <row r="55" spans="9:14" ht="13.5" customHeight="1">
      <c r="I55" s="1470">
        <v>2062</v>
      </c>
      <c r="J55" s="1521">
        <v>26140628.1</v>
      </c>
      <c r="K55" s="1521">
        <v>519128503.25</v>
      </c>
      <c r="L55" s="1481">
        <f t="shared" si="0"/>
        <v>-492987875.15</v>
      </c>
      <c r="M55" s="1480">
        <f t="shared" si="1"/>
        <v>-10769345333.55</v>
      </c>
      <c r="N55" s="390"/>
    </row>
    <row r="56" spans="9:14" ht="13.5" customHeight="1">
      <c r="I56" s="1470">
        <v>2063</v>
      </c>
      <c r="J56" s="1521">
        <v>25496892.75</v>
      </c>
      <c r="K56" s="1521">
        <v>508781874.31</v>
      </c>
      <c r="L56" s="1481">
        <f t="shared" si="0"/>
        <v>-483284981.56</v>
      </c>
      <c r="M56" s="1480">
        <f t="shared" si="1"/>
        <v>-11252630315.109999</v>
      </c>
      <c r="N56" s="390"/>
    </row>
    <row r="57" spans="9:14" ht="13.5" customHeight="1">
      <c r="I57" s="1470">
        <v>2064</v>
      </c>
      <c r="J57" s="1521">
        <v>24748959.01</v>
      </c>
      <c r="K57" s="1521">
        <v>496327194.69</v>
      </c>
      <c r="L57" s="1481">
        <f t="shared" si="0"/>
        <v>-471578235.68</v>
      </c>
      <c r="M57" s="1480">
        <f t="shared" si="1"/>
        <v>-11724208550.789999</v>
      </c>
      <c r="N57" s="390"/>
    </row>
    <row r="58" spans="9:14" ht="13.5" customHeight="1">
      <c r="I58" s="1470">
        <v>2065</v>
      </c>
      <c r="J58" s="1521">
        <v>23899357.03</v>
      </c>
      <c r="K58" s="1521">
        <v>481755881.63</v>
      </c>
      <c r="L58" s="1482">
        <f t="shared" si="0"/>
        <v>-457856524.6</v>
      </c>
      <c r="M58" s="1480">
        <f>M57+L58</f>
        <v>-12182065075.39</v>
      </c>
      <c r="N58" s="390"/>
    </row>
    <row r="59" spans="9:14" ht="13.5" customHeight="1">
      <c r="I59" s="1470">
        <v>2066</v>
      </c>
      <c r="J59" s="1521">
        <v>22952143.89</v>
      </c>
      <c r="K59" s="1521">
        <v>465134519.45</v>
      </c>
      <c r="L59" s="1482">
        <f t="shared" si="0"/>
        <v>-442182375.56</v>
      </c>
      <c r="M59" s="1480">
        <f aca="true" t="shared" si="2" ref="M59:M86">M58+L59</f>
        <v>-12624247450.949999</v>
      </c>
      <c r="N59" s="390"/>
    </row>
    <row r="60" spans="9:14" ht="13.5" customHeight="1">
      <c r="I60" s="1470">
        <v>2067</v>
      </c>
      <c r="J60" s="1521">
        <v>21914443.37</v>
      </c>
      <c r="K60" s="1521">
        <v>446563186.12</v>
      </c>
      <c r="L60" s="1482">
        <f t="shared" si="0"/>
        <v>-424648742.75</v>
      </c>
      <c r="M60" s="1480">
        <f t="shared" si="2"/>
        <v>-13048896193.699999</v>
      </c>
      <c r="N60" s="390"/>
    </row>
    <row r="61" spans="9:14" ht="13.5" customHeight="1">
      <c r="I61" s="1470">
        <v>2068</v>
      </c>
      <c r="J61" s="1521">
        <v>20792461.82</v>
      </c>
      <c r="K61" s="1521">
        <v>426128467.01</v>
      </c>
      <c r="L61" s="1482">
        <f t="shared" si="0"/>
        <v>-405336005.19</v>
      </c>
      <c r="M61" s="1480">
        <f t="shared" si="2"/>
        <v>-13454232198.89</v>
      </c>
      <c r="N61" s="390"/>
    </row>
    <row r="62" spans="9:14" ht="13.5" customHeight="1">
      <c r="I62" s="1470">
        <v>2069</v>
      </c>
      <c r="J62" s="1521">
        <v>19594752.2</v>
      </c>
      <c r="K62" s="1521">
        <v>404025600.27</v>
      </c>
      <c r="L62" s="1482">
        <f t="shared" si="0"/>
        <v>-384430848.07</v>
      </c>
      <c r="M62" s="1480">
        <f t="shared" si="2"/>
        <v>-13838663046.96</v>
      </c>
      <c r="N62" s="390"/>
    </row>
    <row r="63" spans="9:14" ht="13.5" customHeight="1">
      <c r="I63" s="1470">
        <v>2070</v>
      </c>
      <c r="J63" s="1521">
        <v>19331275.88</v>
      </c>
      <c r="K63" s="1521">
        <v>380392553.05</v>
      </c>
      <c r="L63" s="1482">
        <f t="shared" si="0"/>
        <v>-361061277.17</v>
      </c>
      <c r="M63" s="1480">
        <f t="shared" si="2"/>
        <v>-14199724324.13</v>
      </c>
      <c r="N63" s="390"/>
    </row>
    <row r="64" spans="9:14" ht="13.5" customHeight="1">
      <c r="I64" s="1470">
        <v>2071</v>
      </c>
      <c r="J64" s="1521">
        <v>17014509.15</v>
      </c>
      <c r="K64" s="1521">
        <v>355465319.64</v>
      </c>
      <c r="L64" s="1482">
        <f t="shared" si="0"/>
        <v>-338450810.49</v>
      </c>
      <c r="M64" s="1480">
        <f t="shared" si="2"/>
        <v>-14538175134.619999</v>
      </c>
      <c r="N64" s="390"/>
    </row>
    <row r="65" spans="9:14" ht="13.5" customHeight="1">
      <c r="I65" s="1470">
        <v>2072</v>
      </c>
      <c r="J65" s="1521">
        <v>15657969.63</v>
      </c>
      <c r="K65" s="1521">
        <v>329545659.64</v>
      </c>
      <c r="L65" s="1482">
        <f t="shared" si="0"/>
        <v>-313887690.01</v>
      </c>
      <c r="M65" s="1480">
        <f t="shared" si="2"/>
        <v>-14852062824.63</v>
      </c>
      <c r="N65" s="390"/>
    </row>
    <row r="66" spans="9:14" ht="13.5" customHeight="1">
      <c r="I66" s="1470">
        <v>2073</v>
      </c>
      <c r="J66" s="1521">
        <v>14275553.44</v>
      </c>
      <c r="K66" s="1521">
        <v>302881316.72</v>
      </c>
      <c r="L66" s="1482">
        <f t="shared" si="0"/>
        <v>-288605763.28000003</v>
      </c>
      <c r="M66" s="1480">
        <f t="shared" si="2"/>
        <v>-15140668587.91</v>
      </c>
      <c r="N66" s="390"/>
    </row>
    <row r="67" spans="9:14" ht="13.5" customHeight="1">
      <c r="I67" s="1470">
        <v>2074</v>
      </c>
      <c r="J67" s="1521">
        <v>12883945.88</v>
      </c>
      <c r="K67" s="1521">
        <v>275741786.63</v>
      </c>
      <c r="L67" s="1482">
        <f t="shared" si="0"/>
        <v>-262857840.75</v>
      </c>
      <c r="M67" s="1480">
        <f t="shared" si="2"/>
        <v>-15403526428.66</v>
      </c>
      <c r="N67" s="390"/>
    </row>
    <row r="68" spans="9:14" ht="13.5" customHeight="1">
      <c r="I68" s="1470">
        <v>2075</v>
      </c>
      <c r="J68" s="1521">
        <v>11498155.92</v>
      </c>
      <c r="K68" s="1521">
        <v>248470656.07</v>
      </c>
      <c r="L68" s="1482">
        <f t="shared" si="0"/>
        <v>-236972500.15</v>
      </c>
      <c r="M68" s="1480">
        <f t="shared" si="2"/>
        <v>-15640498928.81</v>
      </c>
      <c r="N68" s="390"/>
    </row>
    <row r="69" spans="9:14" ht="13.5" customHeight="1">
      <c r="I69" s="1470">
        <v>2076</v>
      </c>
      <c r="J69" s="1521">
        <v>10137594.37</v>
      </c>
      <c r="K69" s="1521">
        <v>221444239.2</v>
      </c>
      <c r="L69" s="1482">
        <f t="shared" si="0"/>
        <v>-211306644.82999998</v>
      </c>
      <c r="M69" s="1480">
        <f t="shared" si="2"/>
        <v>-15851805573.64</v>
      </c>
      <c r="N69" s="390"/>
    </row>
    <row r="70" spans="9:14" ht="13.5" customHeight="1">
      <c r="I70" s="1470">
        <v>2077</v>
      </c>
      <c r="J70" s="1521">
        <v>8817315.56</v>
      </c>
      <c r="K70" s="1521">
        <v>194926992.86</v>
      </c>
      <c r="L70" s="1482">
        <f t="shared" si="0"/>
        <v>-186109677.3</v>
      </c>
      <c r="M70" s="1480">
        <f t="shared" si="2"/>
        <v>-16037915250.939999</v>
      </c>
      <c r="N70" s="390"/>
    </row>
    <row r="71" spans="9:14" ht="13.5" customHeight="1">
      <c r="I71" s="1470">
        <v>2078</v>
      </c>
      <c r="J71" s="1521">
        <v>7554216.9</v>
      </c>
      <c r="K71" s="1521">
        <v>169295943.89</v>
      </c>
      <c r="L71" s="1482">
        <f t="shared" si="0"/>
        <v>-161741726.98999998</v>
      </c>
      <c r="M71" s="1480">
        <f t="shared" si="2"/>
        <v>-16199656977.929998</v>
      </c>
      <c r="N71" s="390"/>
    </row>
    <row r="72" spans="9:14" ht="13.5" customHeight="1">
      <c r="I72" s="1470">
        <v>2079</v>
      </c>
      <c r="J72" s="1521">
        <v>6364533.36</v>
      </c>
      <c r="K72" s="1521">
        <v>144863341.65</v>
      </c>
      <c r="L72" s="1482">
        <f t="shared" si="0"/>
        <v>-138498808.29</v>
      </c>
      <c r="M72" s="1480">
        <f t="shared" si="2"/>
        <v>-16338155786.22</v>
      </c>
      <c r="N72" s="390"/>
    </row>
    <row r="73" spans="9:14" ht="13.5" customHeight="1">
      <c r="I73" s="1470">
        <v>2080</v>
      </c>
      <c r="J73" s="1521">
        <v>5263523.37</v>
      </c>
      <c r="K73" s="1521">
        <v>121931115.97</v>
      </c>
      <c r="L73" s="1482">
        <f t="shared" si="0"/>
        <v>-116667592.6</v>
      </c>
      <c r="M73" s="1480">
        <f t="shared" si="2"/>
        <v>-16454823378.82</v>
      </c>
      <c r="N73" s="390"/>
    </row>
    <row r="74" spans="9:14" ht="13.5" customHeight="1">
      <c r="I74" s="1470">
        <v>2081</v>
      </c>
      <c r="J74" s="1521">
        <v>4262900.11</v>
      </c>
      <c r="K74" s="1521">
        <v>100779561.04</v>
      </c>
      <c r="L74" s="1482">
        <f t="shared" si="0"/>
        <v>-96516660.93</v>
      </c>
      <c r="M74" s="1480">
        <f t="shared" si="2"/>
        <v>-16551340039.75</v>
      </c>
      <c r="N74" s="390"/>
    </row>
    <row r="75" spans="9:14" ht="13.5" customHeight="1">
      <c r="I75" s="1470">
        <v>2082</v>
      </c>
      <c r="J75" s="1521">
        <v>3371932.07</v>
      </c>
      <c r="K75" s="1521">
        <v>81601984.03</v>
      </c>
      <c r="L75" s="1482">
        <f t="shared" si="0"/>
        <v>-78230051.96000001</v>
      </c>
      <c r="M75" s="1480">
        <f t="shared" si="2"/>
        <v>-16629570091.71</v>
      </c>
      <c r="N75" s="390"/>
    </row>
    <row r="76" spans="9:14" ht="13.5" customHeight="1">
      <c r="I76" s="1470">
        <v>2083</v>
      </c>
      <c r="J76" s="1521">
        <v>2598559.12</v>
      </c>
      <c r="K76" s="1521">
        <v>64596269.71</v>
      </c>
      <c r="L76" s="1482">
        <f aca="true" t="shared" si="3" ref="L76:L86">J76-K76</f>
        <v>-61997710.59</v>
      </c>
      <c r="M76" s="1480">
        <f t="shared" si="2"/>
        <v>-16691567802.3</v>
      </c>
      <c r="N76" s="390"/>
    </row>
    <row r="77" spans="9:14" ht="13.5" customHeight="1">
      <c r="I77" s="1470">
        <v>2084</v>
      </c>
      <c r="J77" s="1521">
        <v>1942688.42</v>
      </c>
      <c r="K77" s="1521">
        <v>49839478.64</v>
      </c>
      <c r="L77" s="1482">
        <f t="shared" si="3"/>
        <v>-47896790.22</v>
      </c>
      <c r="M77" s="1480">
        <f t="shared" si="2"/>
        <v>-16739464592.519999</v>
      </c>
      <c r="N77" s="390"/>
    </row>
    <row r="78" spans="9:14" ht="13.5" customHeight="1">
      <c r="I78" s="1470">
        <v>2085</v>
      </c>
      <c r="J78" s="1521">
        <v>1405729.86</v>
      </c>
      <c r="K78" s="1521">
        <v>37391968.46</v>
      </c>
      <c r="L78" s="1482">
        <f t="shared" si="3"/>
        <v>-35986238.6</v>
      </c>
      <c r="M78" s="1480">
        <f t="shared" si="2"/>
        <v>-16775450831.119999</v>
      </c>
      <c r="N78" s="390"/>
    </row>
    <row r="79" spans="9:14" ht="13.5" customHeight="1">
      <c r="I79" s="1470">
        <v>2086</v>
      </c>
      <c r="J79" s="1521">
        <v>974442.88</v>
      </c>
      <c r="K79" s="1521">
        <v>27236427.02</v>
      </c>
      <c r="L79" s="1482">
        <f t="shared" si="3"/>
        <v>-26261984.14</v>
      </c>
      <c r="M79" s="1480">
        <f t="shared" si="2"/>
        <v>-16801712815.259998</v>
      </c>
      <c r="N79" s="390"/>
    </row>
    <row r="80" spans="9:14" ht="13.5" customHeight="1">
      <c r="I80" s="1470">
        <v>2087</v>
      </c>
      <c r="J80" s="1521">
        <v>652033.03</v>
      </c>
      <c r="K80" s="1521">
        <v>19159469.11</v>
      </c>
      <c r="L80" s="1482">
        <f t="shared" si="3"/>
        <v>-18507436.08</v>
      </c>
      <c r="M80" s="1480">
        <f t="shared" si="2"/>
        <v>-16820220251.339998</v>
      </c>
      <c r="N80" s="390"/>
    </row>
    <row r="81" spans="9:14" ht="13.5" customHeight="1">
      <c r="I81" s="1470">
        <v>2088</v>
      </c>
      <c r="J81" s="1521">
        <v>412152.8</v>
      </c>
      <c r="K81" s="1521">
        <v>13021765.66</v>
      </c>
      <c r="L81" s="1482">
        <f t="shared" si="3"/>
        <v>-12609612.86</v>
      </c>
      <c r="M81" s="1480">
        <f t="shared" si="2"/>
        <v>-16832829864.199999</v>
      </c>
      <c r="N81" s="390"/>
    </row>
    <row r="82" spans="9:14" ht="13.5" customHeight="1">
      <c r="I82" s="1470">
        <v>2089</v>
      </c>
      <c r="J82" s="1521">
        <v>244966.45</v>
      </c>
      <c r="K82" s="1521">
        <v>8584743.2</v>
      </c>
      <c r="L82" s="1482">
        <f t="shared" si="3"/>
        <v>-8339776.749999999</v>
      </c>
      <c r="M82" s="1480">
        <f t="shared" si="2"/>
        <v>-16841169640.949999</v>
      </c>
      <c r="N82" s="390"/>
    </row>
    <row r="83" spans="9:14" ht="13.5" customHeight="1">
      <c r="I83" s="1470">
        <v>2090</v>
      </c>
      <c r="J83" s="1521">
        <v>135720.9</v>
      </c>
      <c r="K83" s="1521">
        <v>5516358.62</v>
      </c>
      <c r="L83" s="1482">
        <f t="shared" si="3"/>
        <v>-5380637.72</v>
      </c>
      <c r="M83" s="1480">
        <f t="shared" si="2"/>
        <v>-16846550278.669998</v>
      </c>
      <c r="N83" s="390"/>
    </row>
    <row r="84" spans="9:14" ht="13.5" customHeight="1">
      <c r="I84" s="1470">
        <v>2091</v>
      </c>
      <c r="J84" s="1521">
        <v>69438.19</v>
      </c>
      <c r="K84" s="1521">
        <v>3525177.84</v>
      </c>
      <c r="L84" s="1482">
        <f t="shared" si="3"/>
        <v>-3455739.65</v>
      </c>
      <c r="M84" s="1480">
        <f t="shared" si="2"/>
        <v>-16850006018.319998</v>
      </c>
      <c r="N84" s="390"/>
    </row>
    <row r="85" spans="9:14" ht="13.5" customHeight="1">
      <c r="I85" s="1470">
        <v>2092</v>
      </c>
      <c r="J85" s="1521">
        <v>32588</v>
      </c>
      <c r="K85" s="1521">
        <v>2294425.13</v>
      </c>
      <c r="L85" s="1482">
        <f t="shared" si="3"/>
        <v>-2261837.13</v>
      </c>
      <c r="M85" s="1480">
        <f t="shared" si="2"/>
        <v>-16852267855.449997</v>
      </c>
      <c r="N85" s="390"/>
    </row>
    <row r="86" spans="9:14" ht="13.5" customHeight="1">
      <c r="I86" s="1470">
        <v>2093</v>
      </c>
      <c r="J86" s="1521">
        <v>13777.8</v>
      </c>
      <c r="K86" s="1521">
        <v>1572866.72</v>
      </c>
      <c r="L86" s="1482">
        <f t="shared" si="3"/>
        <v>-1559088.92</v>
      </c>
      <c r="M86" s="1480">
        <f t="shared" si="2"/>
        <v>-16853826944.369997</v>
      </c>
      <c r="N86" s="390"/>
    </row>
    <row r="87" spans="9:14" ht="12.75" customHeight="1">
      <c r="I87" s="1433"/>
      <c r="J87" s="1483"/>
      <c r="K87" s="1483"/>
      <c r="L87" s="1484"/>
      <c r="M87" s="1484"/>
      <c r="N87" s="390"/>
    </row>
    <row r="88" spans="9:14" ht="12.75" customHeight="1">
      <c r="I88" s="1433"/>
      <c r="J88" s="1483"/>
      <c r="K88" s="1483"/>
      <c r="L88" s="1484"/>
      <c r="M88" s="1484"/>
      <c r="N88" s="390"/>
    </row>
    <row r="89" spans="9:14" ht="12.75" customHeight="1">
      <c r="I89" s="1433"/>
      <c r="J89" s="1483"/>
      <c r="K89" s="1483"/>
      <c r="L89" s="1484"/>
      <c r="M89" s="1484"/>
      <c r="N89" s="390"/>
    </row>
    <row r="90" spans="9:14" ht="12.75" customHeight="1">
      <c r="I90" s="1433"/>
      <c r="J90" s="1483"/>
      <c r="K90" s="1483"/>
      <c r="L90" s="1484"/>
      <c r="M90" s="1484"/>
      <c r="N90" s="390"/>
    </row>
    <row r="91" spans="9:14" ht="12.75" customHeight="1">
      <c r="I91" s="1433"/>
      <c r="J91" s="1483"/>
      <c r="K91" s="1483"/>
      <c r="L91" s="1484"/>
      <c r="M91" s="1484"/>
      <c r="N91" s="390"/>
    </row>
    <row r="92" spans="9:14" ht="12.75" customHeight="1">
      <c r="I92" s="1433"/>
      <c r="J92" s="1483"/>
      <c r="K92" s="1483"/>
      <c r="L92" s="1484"/>
      <c r="M92" s="1484"/>
      <c r="N92" s="390"/>
    </row>
    <row r="93" spans="9:14" ht="12.75" customHeight="1">
      <c r="I93" s="1433"/>
      <c r="J93" s="1483"/>
      <c r="K93" s="1483"/>
      <c r="L93" s="1484"/>
      <c r="M93" s="1484"/>
      <c r="N93" s="390"/>
    </row>
    <row r="94" spans="9:14" ht="12.75" customHeight="1">
      <c r="I94" s="1433"/>
      <c r="J94" s="1483"/>
      <c r="K94" s="1483"/>
      <c r="L94" s="1484"/>
      <c r="M94" s="1484"/>
      <c r="N94" s="390"/>
    </row>
    <row r="95" spans="9:14" ht="12.75" customHeight="1">
      <c r="I95" s="1433"/>
      <c r="J95" s="1483"/>
      <c r="K95" s="1483"/>
      <c r="L95" s="1484"/>
      <c r="M95" s="1484"/>
      <c r="N95" s="390"/>
    </row>
    <row r="96" spans="9:14" ht="12.75" customHeight="1">
      <c r="I96" s="1433"/>
      <c r="J96" s="1483"/>
      <c r="K96" s="1483"/>
      <c r="L96" s="1484"/>
      <c r="M96" s="1484"/>
      <c r="N96" s="390"/>
    </row>
    <row r="97" spans="9:14" ht="12.75" customHeight="1">
      <c r="I97" s="2136" t="s">
        <v>523</v>
      </c>
      <c r="J97" s="2136"/>
      <c r="K97" s="2136"/>
      <c r="L97" s="2136"/>
      <c r="M97" s="2136"/>
      <c r="N97" s="390"/>
    </row>
    <row r="98" spans="9:14" ht="12.75" customHeight="1">
      <c r="I98" s="1471"/>
      <c r="J98" s="1472" t="s">
        <v>974</v>
      </c>
      <c r="K98" s="1473" t="s">
        <v>34</v>
      </c>
      <c r="L98" s="1471" t="s">
        <v>975</v>
      </c>
      <c r="M98" s="2133" t="s">
        <v>976</v>
      </c>
      <c r="N98" s="390"/>
    </row>
    <row r="99" spans="9:14" ht="12.75" customHeight="1">
      <c r="I99" s="1474" t="s">
        <v>183</v>
      </c>
      <c r="J99" s="1474" t="s">
        <v>977</v>
      </c>
      <c r="K99" s="1474" t="s">
        <v>977</v>
      </c>
      <c r="L99" s="1475" t="s">
        <v>978</v>
      </c>
      <c r="M99" s="2134"/>
      <c r="N99" s="390"/>
    </row>
    <row r="100" spans="9:14" ht="21.75" customHeight="1">
      <c r="I100" s="1477"/>
      <c r="J100" s="1477" t="s">
        <v>66</v>
      </c>
      <c r="K100" s="1477" t="s">
        <v>67</v>
      </c>
      <c r="L100" s="1478" t="s">
        <v>959</v>
      </c>
      <c r="M100" s="2135"/>
      <c r="N100" s="390"/>
    </row>
    <row r="101" spans="9:14" ht="12.75" customHeight="1">
      <c r="I101" s="1470">
        <v>2019</v>
      </c>
      <c r="J101" s="1521">
        <v>363967699.83</v>
      </c>
      <c r="K101" s="1521">
        <v>363967699.83</v>
      </c>
      <c r="L101" s="1479"/>
      <c r="M101" s="1480"/>
      <c r="N101" s="390"/>
    </row>
    <row r="102" spans="9:14" ht="12.75" customHeight="1">
      <c r="I102" s="1470">
        <v>2020</v>
      </c>
      <c r="J102" s="1521">
        <v>386566252.93</v>
      </c>
      <c r="K102" s="1521">
        <v>386566252.93</v>
      </c>
      <c r="L102" s="1481">
        <f aca="true" t="shared" si="4" ref="L102:L164">J102-K102</f>
        <v>0</v>
      </c>
      <c r="M102" s="1480">
        <f aca="true" t="shared" si="5" ref="M102:M146">M101+L102</f>
        <v>0</v>
      </c>
      <c r="N102" s="390"/>
    </row>
    <row r="103" spans="9:14" ht="12.75" customHeight="1">
      <c r="I103" s="1470">
        <v>2021</v>
      </c>
      <c r="J103" s="1521">
        <v>411092451.96</v>
      </c>
      <c r="K103" s="1521">
        <v>411092451.96</v>
      </c>
      <c r="L103" s="1481">
        <f t="shared" si="4"/>
        <v>0</v>
      </c>
      <c r="M103" s="1480">
        <f t="shared" si="5"/>
        <v>0</v>
      </c>
      <c r="N103" s="390"/>
    </row>
    <row r="104" spans="9:14" ht="12.75" customHeight="1">
      <c r="I104" s="1470">
        <v>2022</v>
      </c>
      <c r="J104" s="1521">
        <v>435661356.68</v>
      </c>
      <c r="K104" s="1521">
        <v>435661356.68</v>
      </c>
      <c r="L104" s="1481">
        <f t="shared" si="4"/>
        <v>0</v>
      </c>
      <c r="M104" s="1480">
        <f t="shared" si="5"/>
        <v>0</v>
      </c>
      <c r="N104" s="390"/>
    </row>
    <row r="105" spans="9:14" ht="12.75" customHeight="1">
      <c r="I105" s="1470">
        <v>2023</v>
      </c>
      <c r="J105" s="1521">
        <v>460431460.96</v>
      </c>
      <c r="K105" s="1521">
        <v>460431460.96</v>
      </c>
      <c r="L105" s="1481">
        <f t="shared" si="4"/>
        <v>0</v>
      </c>
      <c r="M105" s="1480">
        <f t="shared" si="5"/>
        <v>0</v>
      </c>
      <c r="N105" s="390"/>
    </row>
    <row r="106" spans="9:14" ht="12.75" customHeight="1">
      <c r="I106" s="1470">
        <v>2024</v>
      </c>
      <c r="J106" s="1521">
        <v>490380618.91</v>
      </c>
      <c r="K106" s="1521">
        <v>490380618.91</v>
      </c>
      <c r="L106" s="1481">
        <f t="shared" si="4"/>
        <v>0</v>
      </c>
      <c r="M106" s="1480">
        <f t="shared" si="5"/>
        <v>0</v>
      </c>
      <c r="N106" s="390"/>
    </row>
    <row r="107" spans="9:14" ht="12.75" customHeight="1">
      <c r="I107" s="1470">
        <v>2025</v>
      </c>
      <c r="J107" s="1521">
        <v>522317726.77</v>
      </c>
      <c r="K107" s="1521">
        <v>522317726.77</v>
      </c>
      <c r="L107" s="1481">
        <f t="shared" si="4"/>
        <v>0</v>
      </c>
      <c r="M107" s="1480">
        <f t="shared" si="5"/>
        <v>0</v>
      </c>
      <c r="N107" s="390"/>
    </row>
    <row r="108" spans="9:14" ht="12.75" customHeight="1">
      <c r="I108" s="1470">
        <v>2026</v>
      </c>
      <c r="J108" s="1521">
        <v>553335711.51</v>
      </c>
      <c r="K108" s="1521">
        <v>553335711.51</v>
      </c>
      <c r="L108" s="1481">
        <f t="shared" si="4"/>
        <v>0</v>
      </c>
      <c r="M108" s="1480">
        <f t="shared" si="5"/>
        <v>0</v>
      </c>
      <c r="N108" s="390"/>
    </row>
    <row r="109" spans="9:14" ht="12.75" customHeight="1">
      <c r="I109" s="1470">
        <v>2027</v>
      </c>
      <c r="J109" s="1521">
        <v>596801187.61</v>
      </c>
      <c r="K109" s="1521">
        <v>596801187.61</v>
      </c>
      <c r="L109" s="1481">
        <f t="shared" si="4"/>
        <v>0</v>
      </c>
      <c r="M109" s="1480">
        <f t="shared" si="5"/>
        <v>0</v>
      </c>
      <c r="N109" s="390"/>
    </row>
    <row r="110" spans="9:14" ht="12.75" customHeight="1">
      <c r="I110" s="1470">
        <v>2028</v>
      </c>
      <c r="J110" s="1521">
        <v>653194526.99</v>
      </c>
      <c r="K110" s="1521">
        <v>653194526.99</v>
      </c>
      <c r="L110" s="1481">
        <f t="shared" si="4"/>
        <v>0</v>
      </c>
      <c r="M110" s="1480">
        <f t="shared" si="5"/>
        <v>0</v>
      </c>
      <c r="N110" s="390"/>
    </row>
    <row r="111" spans="9:14" ht="12.75" customHeight="1">
      <c r="I111" s="1470">
        <v>2029</v>
      </c>
      <c r="J111" s="1521">
        <v>695117437.48</v>
      </c>
      <c r="K111" s="1521">
        <v>695117437.48</v>
      </c>
      <c r="L111" s="1481">
        <f t="shared" si="4"/>
        <v>0</v>
      </c>
      <c r="M111" s="1480">
        <f t="shared" si="5"/>
        <v>0</v>
      </c>
      <c r="N111" s="390"/>
    </row>
    <row r="112" spans="9:14" ht="12.75" customHeight="1">
      <c r="I112" s="1470">
        <v>2030</v>
      </c>
      <c r="J112" s="1521">
        <v>732442541.79</v>
      </c>
      <c r="K112" s="1521">
        <v>732442541.79</v>
      </c>
      <c r="L112" s="1481">
        <f t="shared" si="4"/>
        <v>0</v>
      </c>
      <c r="M112" s="1480">
        <f t="shared" si="5"/>
        <v>0</v>
      </c>
      <c r="N112" s="390"/>
    </row>
    <row r="113" spans="9:14" ht="12.75" customHeight="1">
      <c r="I113" s="1470">
        <v>2031</v>
      </c>
      <c r="J113" s="1521">
        <v>773146876.74</v>
      </c>
      <c r="K113" s="1521">
        <v>773146876.74</v>
      </c>
      <c r="L113" s="1481">
        <f t="shared" si="4"/>
        <v>0</v>
      </c>
      <c r="M113" s="1480">
        <f t="shared" si="5"/>
        <v>0</v>
      </c>
      <c r="N113" s="390"/>
    </row>
    <row r="114" spans="9:14" ht="12.75" customHeight="1">
      <c r="I114" s="1470">
        <v>2032</v>
      </c>
      <c r="J114" s="1521">
        <v>805482438.45</v>
      </c>
      <c r="K114" s="1521">
        <v>805482438.45</v>
      </c>
      <c r="L114" s="1481">
        <f t="shared" si="4"/>
        <v>0</v>
      </c>
      <c r="M114" s="1480">
        <f t="shared" si="5"/>
        <v>0</v>
      </c>
      <c r="N114" s="390"/>
    </row>
    <row r="115" spans="9:14" ht="12.75" customHeight="1">
      <c r="I115" s="1470">
        <v>2033</v>
      </c>
      <c r="J115" s="1521">
        <v>833010047.49</v>
      </c>
      <c r="K115" s="1521">
        <v>833010047.49</v>
      </c>
      <c r="L115" s="1481">
        <f t="shared" si="4"/>
        <v>0</v>
      </c>
      <c r="M115" s="1480">
        <f t="shared" si="5"/>
        <v>0</v>
      </c>
      <c r="N115" s="390"/>
    </row>
    <row r="116" spans="9:14" ht="12.75" customHeight="1">
      <c r="I116" s="1470">
        <v>2034</v>
      </c>
      <c r="J116" s="1521">
        <v>860755521.39</v>
      </c>
      <c r="K116" s="1521">
        <v>860755521.39</v>
      </c>
      <c r="L116" s="1481">
        <f t="shared" si="4"/>
        <v>0</v>
      </c>
      <c r="M116" s="1480">
        <f t="shared" si="5"/>
        <v>0</v>
      </c>
      <c r="N116" s="390"/>
    </row>
    <row r="117" spans="9:14" ht="12.75" customHeight="1">
      <c r="I117" s="1470">
        <v>2035</v>
      </c>
      <c r="J117" s="1521">
        <v>882616342.49</v>
      </c>
      <c r="K117" s="1521">
        <v>882616342.49</v>
      </c>
      <c r="L117" s="1481">
        <f t="shared" si="4"/>
        <v>0</v>
      </c>
      <c r="M117" s="1480">
        <f t="shared" si="5"/>
        <v>0</v>
      </c>
      <c r="N117" s="390"/>
    </row>
    <row r="118" spans="9:14" ht="12.75" customHeight="1">
      <c r="I118" s="1470">
        <v>2036</v>
      </c>
      <c r="J118" s="1521">
        <v>903053804.59</v>
      </c>
      <c r="K118" s="1521">
        <v>903053804.59</v>
      </c>
      <c r="L118" s="1481">
        <f t="shared" si="4"/>
        <v>0</v>
      </c>
      <c r="M118" s="1480">
        <f t="shared" si="5"/>
        <v>0</v>
      </c>
      <c r="N118" s="390"/>
    </row>
    <row r="119" spans="9:14" ht="12.75" customHeight="1">
      <c r="I119" s="1470">
        <v>2037</v>
      </c>
      <c r="J119" s="1521">
        <v>918880893.93</v>
      </c>
      <c r="K119" s="1521">
        <v>918880893.93</v>
      </c>
      <c r="L119" s="1481">
        <f t="shared" si="4"/>
        <v>0</v>
      </c>
      <c r="M119" s="1480">
        <f t="shared" si="5"/>
        <v>0</v>
      </c>
      <c r="N119" s="390"/>
    </row>
    <row r="120" spans="9:14" ht="12.75" customHeight="1">
      <c r="I120" s="1470">
        <v>2038</v>
      </c>
      <c r="J120" s="1521">
        <v>932950231.62</v>
      </c>
      <c r="K120" s="1521">
        <v>932950231.62</v>
      </c>
      <c r="L120" s="1481">
        <f t="shared" si="4"/>
        <v>0</v>
      </c>
      <c r="M120" s="1480">
        <f t="shared" si="5"/>
        <v>0</v>
      </c>
      <c r="N120" s="390"/>
    </row>
    <row r="121" spans="9:14" ht="12.75" customHeight="1">
      <c r="I121" s="1470">
        <v>2039</v>
      </c>
      <c r="J121" s="1521">
        <v>944553369.15</v>
      </c>
      <c r="K121" s="1521">
        <v>944553369.15</v>
      </c>
      <c r="L121" s="1481">
        <f t="shared" si="4"/>
        <v>0</v>
      </c>
      <c r="M121" s="1480">
        <f t="shared" si="5"/>
        <v>0</v>
      </c>
      <c r="N121" s="390"/>
    </row>
    <row r="122" spans="9:14" ht="12.75" customHeight="1">
      <c r="I122" s="1470">
        <v>2040</v>
      </c>
      <c r="J122" s="1521">
        <v>953455257.38</v>
      </c>
      <c r="K122" s="1521">
        <v>953455257.38</v>
      </c>
      <c r="L122" s="1481">
        <f t="shared" si="4"/>
        <v>0</v>
      </c>
      <c r="M122" s="1480">
        <f t="shared" si="5"/>
        <v>0</v>
      </c>
      <c r="N122" s="390"/>
    </row>
    <row r="123" spans="9:14" ht="12.75" customHeight="1">
      <c r="I123" s="1470">
        <v>2041</v>
      </c>
      <c r="J123" s="1521">
        <v>963911868.58</v>
      </c>
      <c r="K123" s="1521">
        <v>963911868.58</v>
      </c>
      <c r="L123" s="1481">
        <f t="shared" si="4"/>
        <v>0</v>
      </c>
      <c r="M123" s="1480">
        <f t="shared" si="5"/>
        <v>0</v>
      </c>
      <c r="N123" s="390"/>
    </row>
    <row r="124" spans="9:14" ht="12.75" customHeight="1">
      <c r="I124" s="1470">
        <v>2042</v>
      </c>
      <c r="J124" s="1521">
        <v>973016481.18</v>
      </c>
      <c r="K124" s="1521">
        <v>973016481.18</v>
      </c>
      <c r="L124" s="1481">
        <f t="shared" si="4"/>
        <v>0</v>
      </c>
      <c r="M124" s="1480">
        <f t="shared" si="5"/>
        <v>0</v>
      </c>
      <c r="N124" s="390"/>
    </row>
    <row r="125" spans="9:14" ht="12.75" customHeight="1">
      <c r="I125" s="1470">
        <v>2043</v>
      </c>
      <c r="J125" s="1521">
        <v>978859390.95</v>
      </c>
      <c r="K125" s="1521">
        <v>978859390.95</v>
      </c>
      <c r="L125" s="1481">
        <f t="shared" si="4"/>
        <v>0</v>
      </c>
      <c r="M125" s="1480">
        <f t="shared" si="5"/>
        <v>0</v>
      </c>
      <c r="N125" s="390"/>
    </row>
    <row r="126" spans="9:14" ht="12.75" customHeight="1">
      <c r="I126" s="1470">
        <v>2044</v>
      </c>
      <c r="J126" s="1521">
        <v>982314515.77</v>
      </c>
      <c r="K126" s="1521">
        <v>982314515.77</v>
      </c>
      <c r="L126" s="1481">
        <f t="shared" si="4"/>
        <v>0</v>
      </c>
      <c r="M126" s="1480">
        <f t="shared" si="5"/>
        <v>0</v>
      </c>
      <c r="N126" s="390"/>
    </row>
    <row r="127" spans="9:14" ht="12.75" customHeight="1">
      <c r="I127" s="1470">
        <v>2045</v>
      </c>
      <c r="J127" s="1521">
        <v>983395936.49</v>
      </c>
      <c r="K127" s="1521">
        <v>983395936.49</v>
      </c>
      <c r="L127" s="1481">
        <f t="shared" si="4"/>
        <v>0</v>
      </c>
      <c r="M127" s="1480">
        <f t="shared" si="5"/>
        <v>0</v>
      </c>
      <c r="N127" s="390"/>
    </row>
    <row r="128" spans="9:14" ht="12.75" customHeight="1">
      <c r="I128" s="1470">
        <v>2046</v>
      </c>
      <c r="J128" s="1521">
        <v>980996079.54</v>
      </c>
      <c r="K128" s="1521">
        <v>980996079.54</v>
      </c>
      <c r="L128" s="1481">
        <f t="shared" si="4"/>
        <v>0</v>
      </c>
      <c r="M128" s="1480">
        <f t="shared" si="5"/>
        <v>0</v>
      </c>
      <c r="N128" s="390"/>
    </row>
    <row r="129" spans="9:14" ht="12.75" customHeight="1">
      <c r="I129" s="1470">
        <v>2047</v>
      </c>
      <c r="J129" s="1521">
        <v>976766853.25</v>
      </c>
      <c r="K129" s="1521">
        <v>976766853.25</v>
      </c>
      <c r="L129" s="1481">
        <f t="shared" si="4"/>
        <v>0</v>
      </c>
      <c r="M129" s="1480">
        <f t="shared" si="5"/>
        <v>0</v>
      </c>
      <c r="N129" s="390"/>
    </row>
    <row r="130" spans="9:14" ht="12.75" customHeight="1">
      <c r="I130" s="1470">
        <v>2048</v>
      </c>
      <c r="J130" s="1521">
        <v>969533366.85</v>
      </c>
      <c r="K130" s="1521">
        <v>969533366.85</v>
      </c>
      <c r="L130" s="1481">
        <f t="shared" si="4"/>
        <v>0</v>
      </c>
      <c r="M130" s="1480">
        <f t="shared" si="5"/>
        <v>0</v>
      </c>
      <c r="N130" s="390"/>
    </row>
    <row r="131" spans="9:14" ht="12.75" customHeight="1">
      <c r="I131" s="1470">
        <v>2049</v>
      </c>
      <c r="J131" s="1521">
        <v>958943774.5</v>
      </c>
      <c r="K131" s="1521">
        <v>958943774.5</v>
      </c>
      <c r="L131" s="1481">
        <f t="shared" si="4"/>
        <v>0</v>
      </c>
      <c r="M131" s="1480">
        <f t="shared" si="5"/>
        <v>0</v>
      </c>
      <c r="N131" s="390"/>
    </row>
    <row r="132" spans="9:14" ht="12.75" customHeight="1">
      <c r="I132" s="1470">
        <v>2050</v>
      </c>
      <c r="J132" s="1521">
        <v>945475450.25</v>
      </c>
      <c r="K132" s="1521">
        <v>945475450.25</v>
      </c>
      <c r="L132" s="1481">
        <f t="shared" si="4"/>
        <v>0</v>
      </c>
      <c r="M132" s="1480">
        <f t="shared" si="5"/>
        <v>0</v>
      </c>
      <c r="N132" s="390"/>
    </row>
    <row r="133" spans="9:14" ht="12.75" customHeight="1">
      <c r="I133" s="1470">
        <v>2051</v>
      </c>
      <c r="J133" s="1521">
        <v>930075376.38</v>
      </c>
      <c r="K133" s="1521">
        <v>930075376.38</v>
      </c>
      <c r="L133" s="1481">
        <f t="shared" si="4"/>
        <v>0</v>
      </c>
      <c r="M133" s="1480">
        <f t="shared" si="5"/>
        <v>0</v>
      </c>
      <c r="N133" s="390"/>
    </row>
    <row r="134" spans="9:14" ht="12.75" customHeight="1">
      <c r="I134" s="1470">
        <v>2052</v>
      </c>
      <c r="J134" s="1521">
        <v>911613355.35</v>
      </c>
      <c r="K134" s="1521">
        <v>911613355.35</v>
      </c>
      <c r="L134" s="1481">
        <f t="shared" si="4"/>
        <v>0</v>
      </c>
      <c r="M134" s="1480">
        <f t="shared" si="5"/>
        <v>0</v>
      </c>
      <c r="N134" s="390"/>
    </row>
    <row r="135" spans="9:14" ht="12.75" customHeight="1">
      <c r="I135" s="1470">
        <v>2053</v>
      </c>
      <c r="J135" s="1521">
        <v>889911708.24</v>
      </c>
      <c r="K135" s="1521">
        <v>889911708.24</v>
      </c>
      <c r="L135" s="1481">
        <f t="shared" si="4"/>
        <v>0</v>
      </c>
      <c r="M135" s="1480">
        <f t="shared" si="5"/>
        <v>0</v>
      </c>
      <c r="N135" s="390"/>
    </row>
    <row r="136" spans="9:14" ht="12.75" customHeight="1">
      <c r="I136" s="1470">
        <v>2054</v>
      </c>
      <c r="J136" s="1521">
        <v>865163657.38</v>
      </c>
      <c r="K136" s="1521">
        <v>865163657.38</v>
      </c>
      <c r="L136" s="1481">
        <f t="shared" si="4"/>
        <v>0</v>
      </c>
      <c r="M136" s="1480">
        <f t="shared" si="5"/>
        <v>0</v>
      </c>
      <c r="N136" s="390"/>
    </row>
    <row r="137" spans="9:14" ht="12.75" customHeight="1">
      <c r="I137" s="1470">
        <v>2055</v>
      </c>
      <c r="J137" s="1521">
        <v>838268521.48</v>
      </c>
      <c r="K137" s="1521">
        <v>838268521.48</v>
      </c>
      <c r="L137" s="1481">
        <f t="shared" si="4"/>
        <v>0</v>
      </c>
      <c r="M137" s="1480">
        <f t="shared" si="5"/>
        <v>0</v>
      </c>
      <c r="N137" s="390"/>
    </row>
    <row r="138" spans="9:14" ht="12.75" customHeight="1">
      <c r="I138" s="1470">
        <v>2056</v>
      </c>
      <c r="J138" s="1521">
        <v>809919587.31</v>
      </c>
      <c r="K138" s="1521">
        <v>809919587.31</v>
      </c>
      <c r="L138" s="1481">
        <f t="shared" si="4"/>
        <v>0</v>
      </c>
      <c r="M138" s="1480">
        <f t="shared" si="5"/>
        <v>0</v>
      </c>
      <c r="N138" s="390"/>
    </row>
    <row r="139" spans="9:14" ht="12.75" customHeight="1">
      <c r="I139" s="1470">
        <v>2057</v>
      </c>
      <c r="J139" s="1521">
        <v>780243177.85</v>
      </c>
      <c r="K139" s="1521">
        <v>780243177.85</v>
      </c>
      <c r="L139" s="1481">
        <f t="shared" si="4"/>
        <v>0</v>
      </c>
      <c r="M139" s="1480">
        <f t="shared" si="5"/>
        <v>0</v>
      </c>
      <c r="N139" s="390"/>
    </row>
    <row r="140" spans="9:14" ht="12.75" customHeight="1">
      <c r="I140" s="1470">
        <v>2058</v>
      </c>
      <c r="J140" s="1521">
        <v>749325923.71</v>
      </c>
      <c r="K140" s="1521">
        <v>749325923.71</v>
      </c>
      <c r="L140" s="1481">
        <f t="shared" si="4"/>
        <v>0</v>
      </c>
      <c r="M140" s="1480">
        <f t="shared" si="5"/>
        <v>0</v>
      </c>
      <c r="N140" s="390"/>
    </row>
    <row r="141" spans="9:14" ht="12.75" customHeight="1">
      <c r="I141" s="1470">
        <v>2059</v>
      </c>
      <c r="J141" s="1521">
        <v>717254161.21</v>
      </c>
      <c r="K141" s="1521">
        <v>717254161.21</v>
      </c>
      <c r="L141" s="1481">
        <f t="shared" si="4"/>
        <v>0</v>
      </c>
      <c r="M141" s="1480">
        <f t="shared" si="5"/>
        <v>0</v>
      </c>
      <c r="N141" s="390"/>
    </row>
    <row r="142" spans="9:14" ht="12.75" customHeight="1">
      <c r="I142" s="1470">
        <v>2060</v>
      </c>
      <c r="J142" s="1521">
        <v>684174069.55</v>
      </c>
      <c r="K142" s="1521">
        <v>684174069.55</v>
      </c>
      <c r="L142" s="1481">
        <f t="shared" si="4"/>
        <v>0</v>
      </c>
      <c r="M142" s="1480">
        <f t="shared" si="5"/>
        <v>0</v>
      </c>
      <c r="N142" s="390"/>
    </row>
    <row r="143" spans="9:14" ht="12.75" customHeight="1">
      <c r="I143" s="1470">
        <v>2061</v>
      </c>
      <c r="J143" s="1521">
        <v>650230988.79</v>
      </c>
      <c r="K143" s="1521">
        <v>650230988.79</v>
      </c>
      <c r="L143" s="1481">
        <f t="shared" si="4"/>
        <v>0</v>
      </c>
      <c r="M143" s="1480">
        <f t="shared" si="5"/>
        <v>0</v>
      </c>
      <c r="N143" s="390"/>
    </row>
    <row r="144" spans="9:14" ht="12.75" customHeight="1">
      <c r="I144" s="1470">
        <v>2062</v>
      </c>
      <c r="J144" s="1521">
        <v>615612108.43</v>
      </c>
      <c r="K144" s="1521">
        <v>615612108.43</v>
      </c>
      <c r="L144" s="1481">
        <f t="shared" si="4"/>
        <v>0</v>
      </c>
      <c r="M144" s="1480">
        <f t="shared" si="5"/>
        <v>0</v>
      </c>
      <c r="N144" s="390"/>
    </row>
    <row r="145" spans="9:14" ht="12.75" customHeight="1">
      <c r="I145" s="1470">
        <v>2063</v>
      </c>
      <c r="J145" s="1521">
        <v>580491844.17</v>
      </c>
      <c r="K145" s="1521">
        <v>580491844.17</v>
      </c>
      <c r="L145" s="1481">
        <f t="shared" si="4"/>
        <v>0</v>
      </c>
      <c r="M145" s="1480">
        <f t="shared" si="5"/>
        <v>0</v>
      </c>
      <c r="N145" s="390"/>
    </row>
    <row r="146" spans="9:14" ht="12.75" customHeight="1">
      <c r="I146" s="1470">
        <v>2064</v>
      </c>
      <c r="J146" s="1521">
        <v>545063921.16</v>
      </c>
      <c r="K146" s="1521">
        <v>545063921.16</v>
      </c>
      <c r="L146" s="1481">
        <f t="shared" si="4"/>
        <v>0</v>
      </c>
      <c r="M146" s="1480">
        <f t="shared" si="5"/>
        <v>0</v>
      </c>
      <c r="N146" s="390"/>
    </row>
    <row r="147" spans="9:14" ht="12.75" customHeight="1">
      <c r="I147" s="1470">
        <v>2065</v>
      </c>
      <c r="J147" s="1521">
        <v>509556517.76</v>
      </c>
      <c r="K147" s="1521">
        <v>509556517.76</v>
      </c>
      <c r="L147" s="1482">
        <f t="shared" si="4"/>
        <v>0</v>
      </c>
      <c r="M147" s="1480">
        <f>M146+L147</f>
        <v>0</v>
      </c>
      <c r="N147" s="390"/>
    </row>
    <row r="148" spans="9:14" ht="12.75" customHeight="1">
      <c r="I148" s="1470">
        <v>2066</v>
      </c>
      <c r="J148" s="1521">
        <v>474131280.59</v>
      </c>
      <c r="K148" s="1521">
        <v>474131280.59</v>
      </c>
      <c r="L148" s="1482">
        <f t="shared" si="4"/>
        <v>0</v>
      </c>
      <c r="M148" s="1480">
        <f aca="true" t="shared" si="6" ref="M148:M175">M147+L148</f>
        <v>0</v>
      </c>
      <c r="N148" s="390"/>
    </row>
    <row r="149" spans="9:14" ht="12.75" customHeight="1">
      <c r="I149" s="1470">
        <v>2067</v>
      </c>
      <c r="J149" s="1521">
        <v>439005137.33</v>
      </c>
      <c r="K149" s="1521">
        <v>439005137.33</v>
      </c>
      <c r="L149" s="1482">
        <f t="shared" si="4"/>
        <v>0</v>
      </c>
      <c r="M149" s="1480">
        <f t="shared" si="6"/>
        <v>0</v>
      </c>
      <c r="N149" s="390"/>
    </row>
    <row r="150" spans="9:14" ht="12.75" customHeight="1">
      <c r="I150" s="1470">
        <v>2068</v>
      </c>
      <c r="J150" s="1521">
        <v>404370480.04</v>
      </c>
      <c r="K150" s="1521">
        <v>404370480.04</v>
      </c>
      <c r="L150" s="1482">
        <f t="shared" si="4"/>
        <v>0</v>
      </c>
      <c r="M150" s="1480">
        <f t="shared" si="6"/>
        <v>0</v>
      </c>
      <c r="N150" s="390"/>
    </row>
    <row r="151" spans="9:14" ht="12.75" customHeight="1">
      <c r="I151" s="1470">
        <v>2069</v>
      </c>
      <c r="J151" s="1521">
        <v>370356292.84</v>
      </c>
      <c r="K151" s="1521">
        <v>370356292.84</v>
      </c>
      <c r="L151" s="1482">
        <f t="shared" si="4"/>
        <v>0</v>
      </c>
      <c r="M151" s="1480">
        <f t="shared" si="6"/>
        <v>0</v>
      </c>
      <c r="N151" s="390"/>
    </row>
    <row r="152" spans="9:14" ht="12.75" customHeight="1">
      <c r="I152" s="1470">
        <v>2070</v>
      </c>
      <c r="J152" s="1521">
        <v>337189524.5</v>
      </c>
      <c r="K152" s="1521">
        <v>337189524.5</v>
      </c>
      <c r="L152" s="1482">
        <f t="shared" si="4"/>
        <v>0</v>
      </c>
      <c r="M152" s="1480">
        <f t="shared" si="6"/>
        <v>0</v>
      </c>
      <c r="N152" s="390"/>
    </row>
    <row r="153" spans="9:14" ht="12.75" customHeight="1">
      <c r="I153" s="1470">
        <v>2071</v>
      </c>
      <c r="J153" s="1521">
        <v>305047662.75</v>
      </c>
      <c r="K153" s="1521">
        <v>305047662.75</v>
      </c>
      <c r="L153" s="1482">
        <f t="shared" si="4"/>
        <v>0</v>
      </c>
      <c r="M153" s="1480">
        <f t="shared" si="6"/>
        <v>0</v>
      </c>
      <c r="N153" s="390"/>
    </row>
    <row r="154" spans="9:14" ht="12.75" customHeight="1">
      <c r="I154" s="1470">
        <v>2072</v>
      </c>
      <c r="J154" s="1521">
        <v>274094100.06</v>
      </c>
      <c r="K154" s="1521">
        <v>274094100.06</v>
      </c>
      <c r="L154" s="1482">
        <f t="shared" si="4"/>
        <v>0</v>
      </c>
      <c r="M154" s="1480">
        <f t="shared" si="6"/>
        <v>0</v>
      </c>
      <c r="N154" s="390"/>
    </row>
    <row r="155" spans="9:14" ht="12.75" customHeight="1">
      <c r="I155" s="1470">
        <v>2073</v>
      </c>
      <c r="J155" s="1521">
        <v>244490811.22</v>
      </c>
      <c r="K155" s="1521">
        <v>244490811.22</v>
      </c>
      <c r="L155" s="1482">
        <f t="shared" si="4"/>
        <v>0</v>
      </c>
      <c r="M155" s="1480">
        <f t="shared" si="6"/>
        <v>0</v>
      </c>
      <c r="N155" s="390"/>
    </row>
    <row r="156" spans="9:14" ht="12.75" customHeight="1">
      <c r="I156" s="1470">
        <v>2074</v>
      </c>
      <c r="J156" s="1521">
        <v>216327619.05</v>
      </c>
      <c r="K156" s="1521">
        <v>216327619.05</v>
      </c>
      <c r="L156" s="1482">
        <f t="shared" si="4"/>
        <v>0</v>
      </c>
      <c r="M156" s="1480">
        <f t="shared" si="6"/>
        <v>0</v>
      </c>
      <c r="N156" s="390"/>
    </row>
    <row r="157" spans="9:14" ht="12.75" customHeight="1">
      <c r="I157" s="1470">
        <v>2075</v>
      </c>
      <c r="J157" s="1521">
        <v>189777112.76</v>
      </c>
      <c r="K157" s="1521">
        <v>189777112.76</v>
      </c>
      <c r="L157" s="1482">
        <f t="shared" si="4"/>
        <v>0</v>
      </c>
      <c r="M157" s="1480">
        <f t="shared" si="6"/>
        <v>0</v>
      </c>
      <c r="N157" s="390"/>
    </row>
    <row r="158" spans="9:14" ht="12.75" customHeight="1">
      <c r="I158" s="1470">
        <v>2076</v>
      </c>
      <c r="J158" s="1521">
        <v>164898942.21</v>
      </c>
      <c r="K158" s="1521">
        <v>164898942.21</v>
      </c>
      <c r="L158" s="1482">
        <f t="shared" si="4"/>
        <v>0</v>
      </c>
      <c r="M158" s="1480">
        <f t="shared" si="6"/>
        <v>0</v>
      </c>
      <c r="N158" s="390"/>
    </row>
    <row r="159" spans="9:14" ht="12.75" customHeight="1">
      <c r="I159" s="1470">
        <v>2077</v>
      </c>
      <c r="J159" s="1521">
        <v>141887981.22</v>
      </c>
      <c r="K159" s="1521">
        <v>141887981.22</v>
      </c>
      <c r="L159" s="1482">
        <f t="shared" si="4"/>
        <v>0</v>
      </c>
      <c r="M159" s="1480">
        <f t="shared" si="6"/>
        <v>0</v>
      </c>
      <c r="N159" s="390"/>
    </row>
    <row r="160" spans="9:14" ht="12.75" customHeight="1">
      <c r="I160" s="1470">
        <v>2078</v>
      </c>
      <c r="J160" s="1521">
        <v>120788192.76</v>
      </c>
      <c r="K160" s="1521">
        <v>120788192.76</v>
      </c>
      <c r="L160" s="1482">
        <f t="shared" si="4"/>
        <v>0</v>
      </c>
      <c r="M160" s="1480">
        <f t="shared" si="6"/>
        <v>0</v>
      </c>
      <c r="N160" s="390"/>
    </row>
    <row r="161" spans="9:14" ht="12.75" customHeight="1">
      <c r="I161" s="1470">
        <v>2079</v>
      </c>
      <c r="J161" s="1521">
        <v>101712457.16</v>
      </c>
      <c r="K161" s="1521">
        <v>101712457.16</v>
      </c>
      <c r="L161" s="1482">
        <f t="shared" si="4"/>
        <v>0</v>
      </c>
      <c r="M161" s="1480">
        <f t="shared" si="6"/>
        <v>0</v>
      </c>
      <c r="N161" s="390"/>
    </row>
    <row r="162" spans="9:14" ht="12.75" customHeight="1">
      <c r="I162" s="1470">
        <v>2080</v>
      </c>
      <c r="J162" s="1521">
        <v>84726036.35</v>
      </c>
      <c r="K162" s="1521">
        <v>84726036.35</v>
      </c>
      <c r="L162" s="1482">
        <f t="shared" si="4"/>
        <v>0</v>
      </c>
      <c r="M162" s="1480">
        <f t="shared" si="6"/>
        <v>0</v>
      </c>
      <c r="N162" s="390"/>
    </row>
    <row r="163" spans="9:14" ht="12.75" customHeight="1">
      <c r="I163" s="1470">
        <v>2081</v>
      </c>
      <c r="J163" s="1521">
        <v>69822751.05</v>
      </c>
      <c r="K163" s="1521">
        <v>69822751.05</v>
      </c>
      <c r="L163" s="1482">
        <f t="shared" si="4"/>
        <v>0</v>
      </c>
      <c r="M163" s="1480">
        <f t="shared" si="6"/>
        <v>0</v>
      </c>
      <c r="N163" s="390"/>
    </row>
    <row r="164" spans="9:14" ht="12.75" customHeight="1">
      <c r="I164" s="1470">
        <v>2082</v>
      </c>
      <c r="J164" s="1521">
        <v>56977327.56</v>
      </c>
      <c r="K164" s="1521">
        <v>56977327.56</v>
      </c>
      <c r="L164" s="1482">
        <f t="shared" si="4"/>
        <v>0</v>
      </c>
      <c r="M164" s="1480">
        <f t="shared" si="6"/>
        <v>0</v>
      </c>
      <c r="N164" s="390"/>
    </row>
    <row r="165" spans="9:14" ht="12.75" customHeight="1">
      <c r="I165" s="1470">
        <v>2083</v>
      </c>
      <c r="J165" s="1521">
        <v>46158490.75</v>
      </c>
      <c r="K165" s="1521">
        <v>46158490.75</v>
      </c>
      <c r="L165" s="1482">
        <f aca="true" t="shared" si="7" ref="L165:L175">J165-K165</f>
        <v>0</v>
      </c>
      <c r="M165" s="1480">
        <f t="shared" si="6"/>
        <v>0</v>
      </c>
      <c r="N165" s="390"/>
    </row>
    <row r="166" spans="9:14" ht="12.75" customHeight="1">
      <c r="I166" s="1470">
        <v>2084</v>
      </c>
      <c r="J166" s="1521">
        <v>37234509.66</v>
      </c>
      <c r="K166" s="1521">
        <v>37234509.66</v>
      </c>
      <c r="L166" s="1482">
        <f t="shared" si="7"/>
        <v>0</v>
      </c>
      <c r="M166" s="1480">
        <f t="shared" si="6"/>
        <v>0</v>
      </c>
      <c r="N166" s="390"/>
    </row>
    <row r="167" spans="9:14" ht="12.75" customHeight="1">
      <c r="I167" s="1470">
        <v>2085</v>
      </c>
      <c r="J167" s="1521">
        <v>30008627.58</v>
      </c>
      <c r="K167" s="1521">
        <v>30008627.58</v>
      </c>
      <c r="L167" s="1482">
        <f t="shared" si="7"/>
        <v>0</v>
      </c>
      <c r="M167" s="1480">
        <f t="shared" si="6"/>
        <v>0</v>
      </c>
      <c r="N167" s="390"/>
    </row>
    <row r="168" spans="9:14" ht="12.75" customHeight="1">
      <c r="I168" s="1470">
        <v>2086</v>
      </c>
      <c r="J168" s="1521">
        <v>24276708.27</v>
      </c>
      <c r="K168" s="1521">
        <v>24276708.27</v>
      </c>
      <c r="L168" s="1482">
        <f t="shared" si="7"/>
        <v>0</v>
      </c>
      <c r="M168" s="1480">
        <f t="shared" si="6"/>
        <v>0</v>
      </c>
      <c r="N168" s="390"/>
    </row>
    <row r="169" spans="9:14" ht="12.75" customHeight="1">
      <c r="I169" s="1470">
        <v>2087</v>
      </c>
      <c r="J169" s="1521">
        <v>19837383.73</v>
      </c>
      <c r="K169" s="1521">
        <v>19837383.73</v>
      </c>
      <c r="L169" s="1482">
        <f t="shared" si="7"/>
        <v>0</v>
      </c>
      <c r="M169" s="1480">
        <f t="shared" si="6"/>
        <v>0</v>
      </c>
      <c r="N169" s="390"/>
    </row>
    <row r="170" spans="9:14" ht="12.75" customHeight="1">
      <c r="I170" s="1470">
        <v>2088</v>
      </c>
      <c r="J170" s="1521">
        <v>16479858.72</v>
      </c>
      <c r="K170" s="1521">
        <v>16479858.72</v>
      </c>
      <c r="L170" s="1482">
        <f t="shared" si="7"/>
        <v>0</v>
      </c>
      <c r="M170" s="1480">
        <f t="shared" si="6"/>
        <v>0</v>
      </c>
      <c r="N170" s="390"/>
    </row>
    <row r="171" spans="9:14" ht="12.75" customHeight="1">
      <c r="I171" s="1470">
        <v>2089</v>
      </c>
      <c r="J171" s="1521">
        <v>13993939.74</v>
      </c>
      <c r="K171" s="1521">
        <v>13993939.74</v>
      </c>
      <c r="L171" s="1482">
        <f t="shared" si="7"/>
        <v>0</v>
      </c>
      <c r="M171" s="1480">
        <f t="shared" si="6"/>
        <v>0</v>
      </c>
      <c r="N171" s="390"/>
    </row>
    <row r="172" spans="9:14" ht="12.75" customHeight="1">
      <c r="I172" s="1470">
        <v>2090</v>
      </c>
      <c r="J172" s="1521">
        <v>12163657.35</v>
      </c>
      <c r="K172" s="1521">
        <v>12163657.35</v>
      </c>
      <c r="L172" s="1482">
        <f t="shared" si="7"/>
        <v>0</v>
      </c>
      <c r="M172" s="1480">
        <f t="shared" si="6"/>
        <v>0</v>
      </c>
      <c r="N172" s="390"/>
    </row>
    <row r="173" spans="9:14" ht="12.75" customHeight="1">
      <c r="I173" s="1470">
        <v>2091</v>
      </c>
      <c r="J173" s="1521">
        <v>10801150.47</v>
      </c>
      <c r="K173" s="1521">
        <v>10801150.47</v>
      </c>
      <c r="L173" s="1482">
        <f t="shared" si="7"/>
        <v>0</v>
      </c>
      <c r="M173" s="1480">
        <f t="shared" si="6"/>
        <v>0</v>
      </c>
      <c r="N173" s="390"/>
    </row>
    <row r="174" spans="9:14" ht="12.75" customHeight="1">
      <c r="I174" s="1470">
        <v>2092</v>
      </c>
      <c r="J174" s="1521">
        <v>9753081.21</v>
      </c>
      <c r="K174" s="1521">
        <v>9753081.21</v>
      </c>
      <c r="L174" s="1482">
        <f t="shared" si="7"/>
        <v>0</v>
      </c>
      <c r="M174" s="1480">
        <f t="shared" si="6"/>
        <v>0</v>
      </c>
      <c r="N174" s="390"/>
    </row>
    <row r="175" spans="9:14" ht="12.75" customHeight="1">
      <c r="I175" s="1470">
        <v>2093</v>
      </c>
      <c r="J175" s="1521">
        <v>8896476.14</v>
      </c>
      <c r="K175" s="1521">
        <v>8896476.14</v>
      </c>
      <c r="L175" s="1482">
        <f t="shared" si="7"/>
        <v>0</v>
      </c>
      <c r="M175" s="1480">
        <f t="shared" si="6"/>
        <v>0</v>
      </c>
      <c r="N175" s="390"/>
    </row>
    <row r="176" spans="9:14" ht="14.25" customHeight="1">
      <c r="I176" s="1485" t="s">
        <v>1006</v>
      </c>
      <c r="J176" s="1483"/>
      <c r="K176" s="1483"/>
      <c r="L176" s="1484"/>
      <c r="M176" s="1484"/>
      <c r="N176" s="390"/>
    </row>
    <row r="177" spans="9:14" ht="14.25">
      <c r="I177" s="1485" t="s">
        <v>979</v>
      </c>
      <c r="J177" s="390"/>
      <c r="K177" s="390"/>
      <c r="L177" s="390"/>
      <c r="M177" s="352"/>
      <c r="N177" s="390"/>
    </row>
    <row r="178" spans="9:14" ht="14.25">
      <c r="I178" s="2137" t="str">
        <f>'Anexo 9 _ OP CRED'!A24</f>
        <v>  São Luís,  de Janeiro de 2021.</v>
      </c>
      <c r="J178" s="2138"/>
      <c r="K178" s="2138"/>
      <c r="L178" s="390"/>
      <c r="M178" s="352"/>
      <c r="N178" s="390"/>
    </row>
    <row r="179" spans="9:14" ht="14.25">
      <c r="I179" s="1748"/>
      <c r="J179" s="1748"/>
      <c r="K179" s="1748"/>
      <c r="L179" s="390"/>
      <c r="M179" s="352"/>
      <c r="N179" s="390"/>
    </row>
    <row r="180" spans="9:14" ht="14.25">
      <c r="I180" s="455"/>
      <c r="J180" s="455"/>
      <c r="K180" s="455"/>
      <c r="L180" s="390"/>
      <c r="M180" s="352"/>
      <c r="N180" s="390"/>
    </row>
    <row r="181" spans="9:21" ht="15" customHeight="1">
      <c r="I181" s="521"/>
      <c r="J181" s="1898"/>
      <c r="K181" s="1898"/>
      <c r="L181" s="1898"/>
      <c r="M181" s="1898"/>
      <c r="N181" s="521"/>
      <c r="O181" s="521"/>
      <c r="P181" s="521"/>
      <c r="Q181" s="521"/>
      <c r="R181" s="521"/>
      <c r="S181" s="521"/>
      <c r="T181" s="522"/>
      <c r="U181" s="353"/>
    </row>
    <row r="182" spans="10:21" ht="12" customHeight="1">
      <c r="J182" s="1899"/>
      <c r="K182" s="1899"/>
      <c r="L182" s="1899"/>
      <c r="M182" s="1899"/>
      <c r="N182" s="353"/>
      <c r="O182" s="353"/>
      <c r="P182" s="353"/>
      <c r="Q182" s="353"/>
      <c r="R182" s="353"/>
      <c r="S182" s="353"/>
      <c r="T182" s="353"/>
      <c r="U182" s="353"/>
    </row>
    <row r="183" spans="10:21" ht="14.25">
      <c r="J183" s="353"/>
      <c r="K183" s="353"/>
      <c r="L183" s="353"/>
      <c r="N183" s="353"/>
      <c r="O183" s="353"/>
      <c r="P183" s="353"/>
      <c r="Q183" s="353"/>
      <c r="R183" s="353"/>
      <c r="S183" s="353"/>
      <c r="T183" s="353"/>
      <c r="U183" s="353"/>
    </row>
    <row r="184" spans="10:21" ht="14.25">
      <c r="J184" s="353"/>
      <c r="K184" s="353"/>
      <c r="L184" s="353"/>
      <c r="N184" s="353"/>
      <c r="O184" s="353"/>
      <c r="P184" s="353"/>
      <c r="Q184" s="353"/>
      <c r="R184" s="353"/>
      <c r="S184" s="353"/>
      <c r="T184" s="353"/>
      <c r="U184" s="353"/>
    </row>
    <row r="185" spans="10:21" ht="14.25">
      <c r="J185" s="353"/>
      <c r="K185" s="353"/>
      <c r="L185" s="353"/>
      <c r="N185" s="353"/>
      <c r="O185" s="353"/>
      <c r="P185" s="353"/>
      <c r="Q185" s="353"/>
      <c r="R185" s="353"/>
      <c r="S185" s="353"/>
      <c r="T185" s="353"/>
      <c r="U185" s="353"/>
    </row>
    <row r="186" spans="10:21" ht="14.25">
      <c r="J186" s="353"/>
      <c r="K186" s="353"/>
      <c r="L186" s="353"/>
      <c r="N186" s="353"/>
      <c r="O186" s="353"/>
      <c r="P186" s="353"/>
      <c r="Q186" s="353"/>
      <c r="R186" s="353"/>
      <c r="S186" s="353"/>
      <c r="T186" s="353"/>
      <c r="U186" s="353"/>
    </row>
    <row r="187" spans="10:21" ht="14.25">
      <c r="J187" s="353"/>
      <c r="K187" s="353"/>
      <c r="L187" s="353"/>
      <c r="N187" s="353"/>
      <c r="O187" s="353"/>
      <c r="P187" s="353"/>
      <c r="Q187" s="1486"/>
      <c r="R187" s="353"/>
      <c r="S187" s="353"/>
      <c r="T187" s="353"/>
      <c r="U187" s="353"/>
    </row>
    <row r="188" spans="10:21" ht="14.25">
      <c r="J188" s="353"/>
      <c r="K188" s="353"/>
      <c r="L188" s="353"/>
      <c r="N188" s="353"/>
      <c r="O188" s="353"/>
      <c r="P188" s="353"/>
      <c r="Q188" s="353"/>
      <c r="R188" s="353"/>
      <c r="S188" s="353"/>
      <c r="T188" s="353"/>
      <c r="U188" s="353"/>
    </row>
    <row r="189" spans="10:21" ht="14.25">
      <c r="J189" s="353"/>
      <c r="K189" s="353"/>
      <c r="L189" s="353"/>
      <c r="N189" s="353"/>
      <c r="O189" s="353"/>
      <c r="P189" s="353"/>
      <c r="Q189" s="353"/>
      <c r="R189" s="353"/>
      <c r="S189" s="353"/>
      <c r="T189" s="353"/>
      <c r="U189" s="353"/>
    </row>
  </sheetData>
  <sheetProtection/>
  <mergeCells count="13">
    <mergeCell ref="I1:M1"/>
    <mergeCell ref="I2:M2"/>
    <mergeCell ref="I3:M3"/>
    <mergeCell ref="I4:M4"/>
    <mergeCell ref="I5:K5"/>
    <mergeCell ref="I8:M8"/>
    <mergeCell ref="J182:M182"/>
    <mergeCell ref="M9:M11"/>
    <mergeCell ref="I97:M97"/>
    <mergeCell ref="M98:M100"/>
    <mergeCell ref="I178:K178"/>
    <mergeCell ref="I179:K179"/>
    <mergeCell ref="J181:M181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600" verticalDpi="600" orientation="landscape" paperSize="9" scale="70" r:id="rId2"/>
  <headerFooter scaleWithDoc="0">
    <oddFooter>&amp;L&amp;8Publicação: Diário Oficial do Município nº 19
Data: 28.01.2021&amp;R&amp;8&amp;P / &amp;N</oddFooter>
  </headerFooter>
  <rowBreaks count="1" manualBreakCount="1">
    <brk id="53" min="8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BreakPreview" zoomScale="75" zoomScaleSheetLayoutView="75" zoomScalePageLayoutView="0" workbookViewId="0" topLeftCell="A1">
      <selection activeCell="Q20" sqref="Q20"/>
    </sheetView>
  </sheetViews>
  <sheetFormatPr defaultColWidth="8.8515625" defaultRowHeight="12.75"/>
  <cols>
    <col min="1" max="1" width="47.140625" style="353" customWidth="1"/>
    <col min="2" max="2" width="9.28125" style="250" customWidth="1"/>
    <col min="3" max="3" width="8.57421875" style="250" customWidth="1"/>
    <col min="4" max="4" width="16.28125" style="250" customWidth="1"/>
    <col min="5" max="5" width="17.140625" style="250" customWidth="1"/>
    <col min="6" max="6" width="21.00390625" style="250" bestFit="1" customWidth="1"/>
    <col min="7" max="7" width="16.8515625" style="250" bestFit="1" customWidth="1"/>
    <col min="8" max="8" width="15.140625" style="250" customWidth="1"/>
    <col min="9" max="9" width="17.28125" style="353" customWidth="1"/>
    <col min="10" max="16384" width="8.8515625" style="250" customWidth="1"/>
  </cols>
  <sheetData>
    <row r="1" spans="1:7" ht="14.25">
      <c r="A1" s="2127" t="s">
        <v>373</v>
      </c>
      <c r="B1" s="2127"/>
      <c r="C1" s="2127"/>
      <c r="D1" s="2127"/>
      <c r="E1" s="2127"/>
      <c r="F1" s="2127"/>
      <c r="G1" s="2127"/>
    </row>
    <row r="2" spans="1:7" ht="14.25">
      <c r="A2" s="2127" t="s">
        <v>0</v>
      </c>
      <c r="B2" s="2127"/>
      <c r="C2" s="2127"/>
      <c r="D2" s="2127"/>
      <c r="E2" s="2127"/>
      <c r="F2" s="2127"/>
      <c r="G2" s="2127"/>
    </row>
    <row r="3" spans="1:7" ht="15">
      <c r="A3" s="1434" t="s">
        <v>980</v>
      </c>
      <c r="B3" s="1435"/>
      <c r="C3" s="1435"/>
      <c r="D3" s="1435"/>
      <c r="E3" s="377"/>
      <c r="F3" s="377"/>
      <c r="G3" s="1436"/>
    </row>
    <row r="4" spans="1:7" ht="14.25">
      <c r="A4" s="7" t="s">
        <v>954</v>
      </c>
      <c r="B4" s="1438"/>
      <c r="C4" s="1438"/>
      <c r="D4" s="1438"/>
      <c r="E4" s="385"/>
      <c r="F4" s="385"/>
      <c r="G4" s="385"/>
    </row>
    <row r="5" spans="1:7" ht="14.25">
      <c r="A5" s="1821" t="str">
        <f>'Anexo 9 _ OP CRED'!A5:E5</f>
        <v>            Referência: JANEIRO-DEZEMBRO/2020; BIMESTRE: NOVEMBRO-DEZEMBRO/2020</v>
      </c>
      <c r="B5" s="1821"/>
      <c r="C5" s="1821"/>
      <c r="D5" s="1821"/>
      <c r="E5" s="1821"/>
      <c r="F5" s="1821"/>
      <c r="G5" s="1487"/>
    </row>
    <row r="6" spans="1:7" ht="14.25">
      <c r="A6" s="246"/>
      <c r="B6" s="247"/>
      <c r="C6" s="247"/>
      <c r="D6" s="246"/>
      <c r="E6" s="246"/>
      <c r="F6" s="1488"/>
      <c r="G6" s="247"/>
    </row>
    <row r="7" spans="1:7" ht="14.25">
      <c r="A7" s="246" t="s">
        <v>981</v>
      </c>
      <c r="B7" s="247"/>
      <c r="C7" s="247"/>
      <c r="D7" s="1440"/>
      <c r="E7" s="246"/>
      <c r="F7" s="247"/>
      <c r="G7" s="1489"/>
    </row>
    <row r="8" spans="1:9" ht="31.5" customHeight="1">
      <c r="A8" s="2172" t="s">
        <v>2</v>
      </c>
      <c r="B8" s="1723" t="s">
        <v>169</v>
      </c>
      <c r="C8" s="1724"/>
      <c r="D8" s="1723" t="s">
        <v>146</v>
      </c>
      <c r="E8" s="2182"/>
      <c r="F8" s="1723" t="s">
        <v>982</v>
      </c>
      <c r="G8" s="2182"/>
      <c r="H8" s="2182"/>
      <c r="I8" s="1724"/>
    </row>
    <row r="9" spans="1:9" ht="14.25" customHeight="1">
      <c r="A9" s="2172"/>
      <c r="B9" s="2183" t="s">
        <v>957</v>
      </c>
      <c r="C9" s="2184"/>
      <c r="D9" s="2185" t="s">
        <v>983</v>
      </c>
      <c r="E9" s="2186"/>
      <c r="F9" s="2187" t="s">
        <v>959</v>
      </c>
      <c r="G9" s="2188"/>
      <c r="H9" s="2188"/>
      <c r="I9" s="2189"/>
    </row>
    <row r="10" spans="1:9" s="345" customFormat="1" ht="20.25" customHeight="1">
      <c r="A10" s="1490" t="s">
        <v>984</v>
      </c>
      <c r="B10" s="2177">
        <f>B11+B12</f>
        <v>0</v>
      </c>
      <c r="C10" s="2178"/>
      <c r="D10" s="2177">
        <f>D11+D12</f>
        <v>0</v>
      </c>
      <c r="E10" s="2178"/>
      <c r="F10" s="2179">
        <f>F11+F12</f>
        <v>0</v>
      </c>
      <c r="G10" s="2180"/>
      <c r="H10" s="2180"/>
      <c r="I10" s="2181"/>
    </row>
    <row r="11" spans="1:9" ht="18" customHeight="1">
      <c r="A11" s="1491" t="s">
        <v>985</v>
      </c>
      <c r="B11" s="2175"/>
      <c r="C11" s="2176"/>
      <c r="D11" s="2175"/>
      <c r="E11" s="2176"/>
      <c r="F11" s="2155">
        <f>B11-D11</f>
        <v>0</v>
      </c>
      <c r="G11" s="2160"/>
      <c r="H11" s="2160"/>
      <c r="I11" s="2156"/>
    </row>
    <row r="12" spans="1:9" ht="18" customHeight="1">
      <c r="A12" s="1491" t="s">
        <v>986</v>
      </c>
      <c r="B12" s="2175"/>
      <c r="C12" s="2176"/>
      <c r="D12" s="2175"/>
      <c r="E12" s="2176"/>
      <c r="F12" s="2155">
        <f>B12-D12</f>
        <v>0</v>
      </c>
      <c r="G12" s="2160"/>
      <c r="H12" s="2160"/>
      <c r="I12" s="2156"/>
    </row>
    <row r="13" spans="1:9" ht="18" customHeight="1">
      <c r="A13" s="1491" t="s">
        <v>987</v>
      </c>
      <c r="B13" s="2170"/>
      <c r="C13" s="2171"/>
      <c r="D13" s="2170"/>
      <c r="E13" s="2171"/>
      <c r="F13" s="2155">
        <f>B13-D13</f>
        <v>0</v>
      </c>
      <c r="G13" s="2160"/>
      <c r="H13" s="2160"/>
      <c r="I13" s="2156"/>
    </row>
    <row r="14" spans="1:9" ht="18" customHeight="1">
      <c r="A14" s="1491" t="s">
        <v>988</v>
      </c>
      <c r="B14" s="2170"/>
      <c r="C14" s="2171"/>
      <c r="D14" s="2170"/>
      <c r="E14" s="2171"/>
      <c r="F14" s="2155">
        <f>B14-D14</f>
        <v>0</v>
      </c>
      <c r="G14" s="2160"/>
      <c r="H14" s="2160"/>
      <c r="I14" s="2156"/>
    </row>
    <row r="15" spans="1:9" ht="33" customHeight="1">
      <c r="A15" s="2172" t="s">
        <v>34</v>
      </c>
      <c r="B15" s="2173" t="s">
        <v>229</v>
      </c>
      <c r="C15" s="2174"/>
      <c r="D15" s="2164" t="s">
        <v>989</v>
      </c>
      <c r="E15" s="2164" t="s">
        <v>160</v>
      </c>
      <c r="F15" s="2164" t="s">
        <v>990</v>
      </c>
      <c r="G15" s="2164" t="s">
        <v>153</v>
      </c>
      <c r="H15" s="2164" t="s">
        <v>991</v>
      </c>
      <c r="I15" s="2164" t="s">
        <v>992</v>
      </c>
    </row>
    <row r="16" spans="1:9" ht="18" customHeight="1">
      <c r="A16" s="2172"/>
      <c r="B16" s="2166" t="s">
        <v>230</v>
      </c>
      <c r="C16" s="2167"/>
      <c r="D16" s="2165"/>
      <c r="E16" s="2165"/>
      <c r="F16" s="2165"/>
      <c r="G16" s="2165"/>
      <c r="H16" s="2165"/>
      <c r="I16" s="2165"/>
    </row>
    <row r="17" spans="1:9" s="345" customFormat="1" ht="22.5" customHeight="1">
      <c r="A17" s="1492" t="s">
        <v>993</v>
      </c>
      <c r="B17" s="2168">
        <f>B18+B22</f>
        <v>0</v>
      </c>
      <c r="C17" s="2169"/>
      <c r="D17" s="1493">
        <f aca="true" t="shared" si="0" ref="D17:I17">D18+D22</f>
        <v>0</v>
      </c>
      <c r="E17" s="1494">
        <f t="shared" si="0"/>
        <v>0</v>
      </c>
      <c r="F17" s="1494">
        <f t="shared" si="0"/>
        <v>0</v>
      </c>
      <c r="G17" s="1494">
        <f t="shared" si="0"/>
        <v>0</v>
      </c>
      <c r="H17" s="1495">
        <f t="shared" si="0"/>
        <v>0</v>
      </c>
      <c r="I17" s="1495">
        <f t="shared" si="0"/>
        <v>0</v>
      </c>
    </row>
    <row r="18" spans="1:9" s="345" customFormat="1" ht="20.25" customHeight="1">
      <c r="A18" s="1496" t="s">
        <v>45</v>
      </c>
      <c r="B18" s="2168">
        <f>B19+B20+B21</f>
        <v>0</v>
      </c>
      <c r="C18" s="2169"/>
      <c r="D18" s="1497">
        <f aca="true" t="shared" si="1" ref="D18:I18">D19+D20+D21</f>
        <v>0</v>
      </c>
      <c r="E18" s="1497">
        <f t="shared" si="1"/>
        <v>0</v>
      </c>
      <c r="F18" s="1497">
        <f t="shared" si="1"/>
        <v>0</v>
      </c>
      <c r="G18" s="1497">
        <f t="shared" si="1"/>
        <v>0</v>
      </c>
      <c r="H18" s="1497">
        <f t="shared" si="1"/>
        <v>0</v>
      </c>
      <c r="I18" s="1497">
        <f t="shared" si="1"/>
        <v>0</v>
      </c>
    </row>
    <row r="19" spans="1:9" ht="20.25" customHeight="1">
      <c r="A19" s="1491" t="s">
        <v>994</v>
      </c>
      <c r="B19" s="2155"/>
      <c r="C19" s="2156"/>
      <c r="D19" s="1498"/>
      <c r="E19" s="1499"/>
      <c r="F19" s="1499"/>
      <c r="G19" s="1499"/>
      <c r="H19" s="1500"/>
      <c r="I19" s="1501">
        <f>B19-D19</f>
        <v>0</v>
      </c>
    </row>
    <row r="20" spans="1:9" ht="20.25" customHeight="1">
      <c r="A20" s="1491" t="s">
        <v>995</v>
      </c>
      <c r="B20" s="2155"/>
      <c r="C20" s="2156"/>
      <c r="D20" s="1498"/>
      <c r="E20" s="1499"/>
      <c r="F20" s="1499"/>
      <c r="G20" s="1499"/>
      <c r="H20" s="1500">
        <v>0</v>
      </c>
      <c r="I20" s="1501">
        <f>B20-D20</f>
        <v>0</v>
      </c>
    </row>
    <row r="21" spans="1:9" ht="20.25" customHeight="1">
      <c r="A21" s="1491" t="s">
        <v>996</v>
      </c>
      <c r="B21" s="2155"/>
      <c r="C21" s="2156"/>
      <c r="D21" s="1498"/>
      <c r="E21" s="1499"/>
      <c r="F21" s="1499"/>
      <c r="G21" s="1499"/>
      <c r="H21" s="1500"/>
      <c r="I21" s="1501">
        <f>B21-D21</f>
        <v>0</v>
      </c>
    </row>
    <row r="22" spans="1:9" s="345" customFormat="1" ht="20.25" customHeight="1">
      <c r="A22" s="1496" t="s">
        <v>997</v>
      </c>
      <c r="B22" s="2157">
        <f>B23</f>
        <v>0</v>
      </c>
      <c r="C22" s="2158"/>
      <c r="D22" s="1497">
        <f aca="true" t="shared" si="2" ref="D22:I22">D23</f>
        <v>0</v>
      </c>
      <c r="E22" s="1493">
        <f t="shared" si="2"/>
        <v>0</v>
      </c>
      <c r="F22" s="1497">
        <f t="shared" si="2"/>
        <v>0</v>
      </c>
      <c r="G22" s="1497">
        <f t="shared" si="2"/>
        <v>0</v>
      </c>
      <c r="H22" s="1497">
        <f t="shared" si="2"/>
        <v>0</v>
      </c>
      <c r="I22" s="1497">
        <f t="shared" si="2"/>
        <v>0</v>
      </c>
    </row>
    <row r="23" spans="1:9" ht="18" customHeight="1">
      <c r="A23" s="1502" t="s">
        <v>998</v>
      </c>
      <c r="B23" s="2126"/>
      <c r="C23" s="2159"/>
      <c r="D23" s="1503"/>
      <c r="E23" s="1504"/>
      <c r="F23" s="1504"/>
      <c r="G23" s="1505"/>
      <c r="H23" s="1506"/>
      <c r="I23" s="1507">
        <f>B23-C23</f>
        <v>0</v>
      </c>
    </row>
    <row r="24" spans="1:9" ht="9" customHeight="1">
      <c r="A24" s="1491"/>
      <c r="B24" s="2160"/>
      <c r="C24" s="2160"/>
      <c r="D24" s="1498"/>
      <c r="E24" s="1498"/>
      <c r="F24" s="1508"/>
      <c r="G24" s="1508"/>
      <c r="H24" s="353"/>
      <c r="I24" s="1509"/>
    </row>
    <row r="25" spans="1:9" ht="31.5" customHeight="1">
      <c r="A25" s="1723" t="s">
        <v>999</v>
      </c>
      <c r="B25" s="2162" t="s">
        <v>279</v>
      </c>
      <c r="C25" s="2163"/>
      <c r="D25" s="2142" t="s">
        <v>1000</v>
      </c>
      <c r="E25" s="2143"/>
      <c r="F25" s="2143"/>
      <c r="G25" s="2143"/>
      <c r="H25" s="2144"/>
      <c r="I25" s="2145" t="s">
        <v>1001</v>
      </c>
    </row>
    <row r="26" spans="1:9" ht="23.25" customHeight="1">
      <c r="A26" s="2161"/>
      <c r="B26" s="2147" t="s">
        <v>1002</v>
      </c>
      <c r="C26" s="2148"/>
      <c r="D26" s="2147" t="s">
        <v>1003</v>
      </c>
      <c r="E26" s="2148"/>
      <c r="F26" s="2148"/>
      <c r="G26" s="2148"/>
      <c r="H26" s="2149"/>
      <c r="I26" s="2146"/>
    </row>
    <row r="27" spans="1:9" s="345" customFormat="1" ht="17.25" customHeight="1">
      <c r="A27" s="1510" t="s">
        <v>1004</v>
      </c>
      <c r="B27" s="2150"/>
      <c r="C27" s="2151"/>
      <c r="D27" s="2152">
        <f>(D10-(F17+H17))</f>
        <v>0</v>
      </c>
      <c r="E27" s="2153"/>
      <c r="F27" s="2153"/>
      <c r="G27" s="2153"/>
      <c r="H27" s="2154"/>
      <c r="I27" s="1511">
        <f>B27+D27</f>
        <v>0</v>
      </c>
    </row>
    <row r="28" spans="1:7" ht="17.25" customHeight="1">
      <c r="A28" s="1512"/>
      <c r="B28" s="1513"/>
      <c r="C28" s="1513"/>
      <c r="D28" s="1513"/>
      <c r="E28" s="1513"/>
      <c r="F28" s="1513"/>
      <c r="G28" s="1513"/>
    </row>
    <row r="29" spans="1:7" ht="16.5" customHeight="1">
      <c r="A29" s="1514" t="str">
        <f>'[21]Anexo III _ RCL'!A35</f>
        <v>FONTE: SECRETARIA MUNICIPAL DA FAZENDA</v>
      </c>
      <c r="B29" s="1432"/>
      <c r="C29" s="1432"/>
      <c r="D29" s="1432"/>
      <c r="E29" s="1432"/>
      <c r="F29" s="1432"/>
      <c r="G29" s="1432"/>
    </row>
    <row r="30" spans="1:7" ht="16.5" customHeight="1">
      <c r="A30" s="1515" t="str">
        <f>'Anexo 9 _ OP CRED'!A24</f>
        <v>  São Luís,  de Janeiro de 2021.</v>
      </c>
      <c r="B30" s="1432"/>
      <c r="C30" s="1432"/>
      <c r="D30" s="1432"/>
      <c r="E30" s="1432"/>
      <c r="F30" s="1432"/>
      <c r="G30" s="1432"/>
    </row>
    <row r="31" spans="1:7" ht="14.25">
      <c r="A31" s="251"/>
      <c r="B31" s="1462"/>
      <c r="C31" s="1463"/>
      <c r="D31" s="1463"/>
      <c r="E31" s="1463"/>
      <c r="F31" s="1516"/>
      <c r="G31" s="1517"/>
    </row>
    <row r="32" spans="1:7" ht="14.25">
      <c r="A32" s="251"/>
      <c r="B32" s="1462"/>
      <c r="C32" s="1463"/>
      <c r="D32" s="1463"/>
      <c r="E32" s="1463"/>
      <c r="F32" s="1516"/>
      <c r="G32" s="1517"/>
    </row>
    <row r="33" spans="1:7" ht="14.25">
      <c r="A33" s="251"/>
      <c r="B33" s="1462"/>
      <c r="C33" s="1463"/>
      <c r="D33" s="1463"/>
      <c r="E33" s="1463"/>
      <c r="F33" s="1516"/>
      <c r="G33" s="1517"/>
    </row>
  </sheetData>
  <sheetProtection/>
  <mergeCells count="50">
    <mergeCell ref="A1:G1"/>
    <mergeCell ref="A2:G2"/>
    <mergeCell ref="A5:F5"/>
    <mergeCell ref="A8:A9"/>
    <mergeCell ref="B8:C8"/>
    <mergeCell ref="D8:E8"/>
    <mergeCell ref="F8:I8"/>
    <mergeCell ref="B9:C9"/>
    <mergeCell ref="D9:E9"/>
    <mergeCell ref="F9:I9"/>
    <mergeCell ref="B10:C10"/>
    <mergeCell ref="D10:E10"/>
    <mergeCell ref="F10:I10"/>
    <mergeCell ref="B11:C11"/>
    <mergeCell ref="D11:E11"/>
    <mergeCell ref="F11:I11"/>
    <mergeCell ref="B12:C12"/>
    <mergeCell ref="D12:E12"/>
    <mergeCell ref="F12:I12"/>
    <mergeCell ref="B13:C13"/>
    <mergeCell ref="D13:E13"/>
    <mergeCell ref="F13:I13"/>
    <mergeCell ref="B14:C14"/>
    <mergeCell ref="D14:E14"/>
    <mergeCell ref="F14:I14"/>
    <mergeCell ref="A15:A16"/>
    <mergeCell ref="B15:C15"/>
    <mergeCell ref="D15:D16"/>
    <mergeCell ref="E15:E16"/>
    <mergeCell ref="F15:F16"/>
    <mergeCell ref="G15:G16"/>
    <mergeCell ref="H15:H16"/>
    <mergeCell ref="I15:I1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A26"/>
    <mergeCell ref="B25:C25"/>
    <mergeCell ref="D25:H25"/>
    <mergeCell ref="I25:I26"/>
    <mergeCell ref="B26:C26"/>
    <mergeCell ref="D26:H26"/>
    <mergeCell ref="B27:C27"/>
    <mergeCell ref="D27:H27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65" r:id="rId2"/>
  <headerFooter scaleWithDoc="0">
    <oddFooter>&amp;L&amp;8Publicação: Diário Oficial do Município nº 19
Data: 28.01.2021&amp;R&amp;8&amp;P /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179"/>
  <sheetViews>
    <sheetView showGridLines="0" view="pageBreakPreview" zoomScaleSheetLayoutView="100" zoomScalePageLayoutView="0" workbookViewId="0" topLeftCell="A1">
      <selection activeCell="J91" sqref="J91"/>
    </sheetView>
  </sheetViews>
  <sheetFormatPr defaultColWidth="8.8515625" defaultRowHeight="12.75"/>
  <cols>
    <col min="1" max="1" width="8.8515625" style="353" customWidth="1"/>
    <col min="2" max="2" width="60.57421875" style="250" customWidth="1"/>
    <col min="3" max="3" width="21.28125" style="250" customWidth="1"/>
    <col min="4" max="4" width="18.28125" style="250" customWidth="1"/>
    <col min="5" max="5" width="16.7109375" style="250" customWidth="1"/>
    <col min="6" max="6" width="15.57421875" style="250" customWidth="1"/>
    <col min="7" max="7" width="15.28125" style="250" customWidth="1"/>
    <col min="8" max="8" width="16.00390625" style="250" customWidth="1"/>
    <col min="9" max="9" width="14.28125" style="353" customWidth="1"/>
    <col min="10" max="10" width="16.421875" style="1235" customWidth="1"/>
    <col min="11" max="11" width="15.7109375" style="250" customWidth="1"/>
    <col min="12" max="12" width="21.57421875" style="250" customWidth="1"/>
    <col min="13" max="13" width="31.140625" style="1395" customWidth="1"/>
    <col min="14" max="14" width="12.00390625" style="250" bestFit="1" customWidth="1"/>
    <col min="15" max="15" width="23.421875" style="250" customWidth="1"/>
    <col min="16" max="17" width="14.57421875" style="250" bestFit="1" customWidth="1"/>
    <col min="18" max="18" width="12.00390625" style="250" bestFit="1" customWidth="1"/>
    <col min="19" max="19" width="11.140625" style="250" bestFit="1" customWidth="1"/>
    <col min="20" max="20" width="9.8515625" style="250" bestFit="1" customWidth="1"/>
    <col min="21" max="21" width="12.8515625" style="250" bestFit="1" customWidth="1"/>
    <col min="22" max="22" width="11.140625" style="250" bestFit="1" customWidth="1"/>
    <col min="23" max="23" width="12.8515625" style="250" bestFit="1" customWidth="1"/>
    <col min="24" max="24" width="12.00390625" style="250" bestFit="1" customWidth="1"/>
    <col min="25" max="25" width="13.57421875" style="250" bestFit="1" customWidth="1"/>
    <col min="26" max="26" width="11.7109375" style="250" bestFit="1" customWidth="1"/>
    <col min="27" max="16384" width="8.8515625" style="250" customWidth="1"/>
  </cols>
  <sheetData>
    <row r="1" spans="1:8" ht="16.5" customHeight="1">
      <c r="A1" s="2349" t="s">
        <v>373</v>
      </c>
      <c r="B1" s="2349"/>
      <c r="C1" s="2349"/>
      <c r="D1" s="2349"/>
      <c r="E1" s="2349"/>
      <c r="F1" s="2349"/>
      <c r="G1" s="2349"/>
      <c r="H1" s="533"/>
    </row>
    <row r="2" spans="1:8" ht="14.25" customHeight="1">
      <c r="A2" s="2349" t="s">
        <v>0</v>
      </c>
      <c r="B2" s="2349"/>
      <c r="C2" s="2349"/>
      <c r="D2" s="2349"/>
      <c r="E2" s="2349"/>
      <c r="F2" s="2349"/>
      <c r="G2" s="2349"/>
      <c r="H2" s="533"/>
    </row>
    <row r="3" spans="1:9" ht="15" customHeight="1">
      <c r="A3" s="1190" t="s">
        <v>736</v>
      </c>
      <c r="B3" s="1191"/>
      <c r="C3" s="1191"/>
      <c r="D3" s="1191"/>
      <c r="E3" s="1191"/>
      <c r="F3" s="1191"/>
      <c r="G3" s="1190"/>
      <c r="H3" s="1189"/>
      <c r="I3" s="348"/>
    </row>
    <row r="4" spans="1:8" ht="15" customHeight="1">
      <c r="A4" s="2349" t="s">
        <v>1</v>
      </c>
      <c r="B4" s="2349"/>
      <c r="C4" s="2349"/>
      <c r="D4" s="2349"/>
      <c r="E4" s="2349"/>
      <c r="F4" s="2349"/>
      <c r="G4" s="2349"/>
      <c r="H4" s="533"/>
    </row>
    <row r="5" spans="1:8" ht="13.5" customHeight="1">
      <c r="A5" s="2350" t="str">
        <f>'Anexo 1 _ BAL ORC'!A5</f>
        <v>            Referência: JANEIRO-DEZEMBRO/2020; BIMESTRE: NOVEMBRO-DEZEMBRO/2020</v>
      </c>
      <c r="B5" s="2350"/>
      <c r="C5" s="2350"/>
      <c r="D5" s="2350"/>
      <c r="E5" s="534"/>
      <c r="F5" s="534"/>
      <c r="G5" s="535"/>
      <c r="H5" s="536"/>
    </row>
    <row r="6" spans="1:9" ht="18" customHeight="1">
      <c r="A6" s="538" t="s">
        <v>339</v>
      </c>
      <c r="B6" s="537"/>
      <c r="C6" s="527"/>
      <c r="D6" s="537"/>
      <c r="E6" s="537"/>
      <c r="F6" s="537"/>
      <c r="G6" s="528"/>
      <c r="H6" s="539"/>
      <c r="I6" s="540"/>
    </row>
    <row r="7" spans="1:13" s="393" customFormat="1" ht="19.5" customHeight="1">
      <c r="A7" s="2253" t="s">
        <v>788</v>
      </c>
      <c r="B7" s="2254"/>
      <c r="C7" s="2234"/>
      <c r="D7" s="2346" t="s">
        <v>211</v>
      </c>
      <c r="E7" s="2346"/>
      <c r="F7" s="2219" t="s">
        <v>883</v>
      </c>
      <c r="G7" s="2219"/>
      <c r="H7" s="2346" t="s">
        <v>146</v>
      </c>
      <c r="I7" s="2346"/>
      <c r="J7" s="2346"/>
      <c r="K7" s="2346"/>
      <c r="L7" s="2346"/>
      <c r="M7" s="1393"/>
    </row>
    <row r="8" spans="1:13" s="393" customFormat="1" ht="16.5" customHeight="1">
      <c r="A8" s="2351"/>
      <c r="B8" s="2352"/>
      <c r="C8" s="2353"/>
      <c r="D8" s="2346"/>
      <c r="E8" s="2346"/>
      <c r="F8" s="2219"/>
      <c r="G8" s="2219"/>
      <c r="H8" s="2346" t="s">
        <v>425</v>
      </c>
      <c r="I8" s="2346"/>
      <c r="J8" s="2346"/>
      <c r="K8" s="2347" t="s">
        <v>884</v>
      </c>
      <c r="L8" s="2348"/>
      <c r="M8" s="1393"/>
    </row>
    <row r="9" spans="1:13" s="393" customFormat="1" ht="12" customHeight="1">
      <c r="A9" s="2255"/>
      <c r="B9" s="2256"/>
      <c r="C9" s="2257"/>
      <c r="D9" s="2346"/>
      <c r="E9" s="2346"/>
      <c r="F9" s="2219"/>
      <c r="G9" s="2219"/>
      <c r="H9" s="2346"/>
      <c r="I9" s="2346"/>
      <c r="J9" s="2346"/>
      <c r="K9" s="2348"/>
      <c r="L9" s="2348"/>
      <c r="M9" s="1393"/>
    </row>
    <row r="10" spans="1:13" s="529" customFormat="1" ht="18" customHeight="1">
      <c r="A10" s="2216" t="s">
        <v>789</v>
      </c>
      <c r="B10" s="2217"/>
      <c r="C10" s="2218"/>
      <c r="D10" s="2343">
        <f>D11+D14+D17+D20</f>
        <v>865158262</v>
      </c>
      <c r="E10" s="2344"/>
      <c r="F10" s="2343">
        <f>F11+F14+F17+F20</f>
        <v>865158262</v>
      </c>
      <c r="G10" s="2344"/>
      <c r="H10" s="2343">
        <f>H11+H14+H17+H20</f>
        <v>841102288.9700001</v>
      </c>
      <c r="I10" s="2345"/>
      <c r="J10" s="2344"/>
      <c r="K10" s="2337">
        <f>(H10/F10)*100</f>
        <v>97.21947138614972</v>
      </c>
      <c r="L10" s="2338"/>
      <c r="M10" s="1393"/>
    </row>
    <row r="11" spans="1:13" s="393" customFormat="1" ht="18" customHeight="1">
      <c r="A11" s="2216" t="s">
        <v>776</v>
      </c>
      <c r="B11" s="2217"/>
      <c r="C11" s="2218"/>
      <c r="D11" s="2343">
        <f>D12+D13</f>
        <v>129234886</v>
      </c>
      <c r="E11" s="2344"/>
      <c r="F11" s="2343">
        <f>F12+F13</f>
        <v>129234886</v>
      </c>
      <c r="G11" s="2344"/>
      <c r="H11" s="2343">
        <f>H12+H13</f>
        <v>130465861.28</v>
      </c>
      <c r="I11" s="2345"/>
      <c r="J11" s="2344"/>
      <c r="K11" s="2337">
        <f aca="true" t="shared" si="0" ref="K11:K20">(H11/F11)*100</f>
        <v>100.95251005212322</v>
      </c>
      <c r="L11" s="2338"/>
      <c r="M11" s="1393"/>
    </row>
    <row r="12" spans="1:13" s="393" customFormat="1" ht="18" customHeight="1">
      <c r="A12" s="2331" t="s">
        <v>777</v>
      </c>
      <c r="B12" s="2332"/>
      <c r="C12" s="2333"/>
      <c r="D12" s="2334">
        <v>120231068</v>
      </c>
      <c r="E12" s="2335"/>
      <c r="F12" s="2334">
        <f>D12</f>
        <v>120231068</v>
      </c>
      <c r="G12" s="2335"/>
      <c r="H12" s="2334">
        <v>97271283.48</v>
      </c>
      <c r="I12" s="2336"/>
      <c r="J12" s="2335"/>
      <c r="K12" s="2337">
        <f t="shared" si="0"/>
        <v>80.9036175907545</v>
      </c>
      <c r="L12" s="2338"/>
      <c r="M12" s="1393"/>
    </row>
    <row r="13" spans="1:13" s="393" customFormat="1" ht="18" customHeight="1">
      <c r="A13" s="2331" t="s">
        <v>778</v>
      </c>
      <c r="B13" s="2332"/>
      <c r="C13" s="2333"/>
      <c r="D13" s="2334">
        <v>9003818</v>
      </c>
      <c r="E13" s="2335"/>
      <c r="F13" s="2334">
        <f>D13</f>
        <v>9003818</v>
      </c>
      <c r="G13" s="2335"/>
      <c r="H13" s="2334">
        <v>33194577.8</v>
      </c>
      <c r="I13" s="2336"/>
      <c r="J13" s="2335"/>
      <c r="K13" s="2337">
        <f t="shared" si="0"/>
        <v>368.6722432639132</v>
      </c>
      <c r="L13" s="2338"/>
      <c r="M13" s="1393"/>
    </row>
    <row r="14" spans="1:13" s="393" customFormat="1" ht="18" customHeight="1">
      <c r="A14" s="2216" t="s">
        <v>779</v>
      </c>
      <c r="B14" s="2217"/>
      <c r="C14" s="2218"/>
      <c r="D14" s="2343">
        <f>D15+D16</f>
        <v>34284818</v>
      </c>
      <c r="E14" s="2344"/>
      <c r="F14" s="2343">
        <f>F15+F16</f>
        <v>34284818</v>
      </c>
      <c r="G14" s="2344"/>
      <c r="H14" s="2343">
        <f>H15+H16</f>
        <v>33434774.55</v>
      </c>
      <c r="I14" s="2345"/>
      <c r="J14" s="2344"/>
      <c r="K14" s="2337">
        <f t="shared" si="0"/>
        <v>97.52064178961078</v>
      </c>
      <c r="L14" s="2338"/>
      <c r="M14" s="1393"/>
    </row>
    <row r="15" spans="1:13" s="393" customFormat="1" ht="18" customHeight="1">
      <c r="A15" s="2331" t="s">
        <v>780</v>
      </c>
      <c r="B15" s="2332"/>
      <c r="C15" s="2333"/>
      <c r="D15" s="2334">
        <v>34284818</v>
      </c>
      <c r="E15" s="2335"/>
      <c r="F15" s="2334">
        <f>D15</f>
        <v>34284818</v>
      </c>
      <c r="G15" s="2335"/>
      <c r="H15" s="2334">
        <v>33434774.55</v>
      </c>
      <c r="I15" s="2336"/>
      <c r="J15" s="2335"/>
      <c r="K15" s="2337">
        <f t="shared" si="0"/>
        <v>97.52064178961078</v>
      </c>
      <c r="L15" s="2338"/>
      <c r="M15" s="1393"/>
    </row>
    <row r="16" spans="1:13" s="393" customFormat="1" ht="18" customHeight="1">
      <c r="A16" s="2331" t="s">
        <v>782</v>
      </c>
      <c r="B16" s="2332"/>
      <c r="C16" s="2333"/>
      <c r="D16" s="2334"/>
      <c r="E16" s="2335"/>
      <c r="F16" s="2334"/>
      <c r="G16" s="2335"/>
      <c r="H16" s="2334"/>
      <c r="I16" s="2336"/>
      <c r="J16" s="2335"/>
      <c r="K16" s="2337"/>
      <c r="L16" s="2338"/>
      <c r="M16" s="1393"/>
    </row>
    <row r="17" spans="1:13" s="393" customFormat="1" ht="18" customHeight="1">
      <c r="A17" s="2216" t="s">
        <v>781</v>
      </c>
      <c r="B17" s="2217"/>
      <c r="C17" s="2218"/>
      <c r="D17" s="2343">
        <f>D18+D19</f>
        <v>607430951</v>
      </c>
      <c r="E17" s="2344"/>
      <c r="F17" s="2343">
        <f>F18+F19</f>
        <v>607430951</v>
      </c>
      <c r="G17" s="2344"/>
      <c r="H17" s="2343">
        <f>H18+H19</f>
        <v>587153546.0600001</v>
      </c>
      <c r="I17" s="2345"/>
      <c r="J17" s="2344"/>
      <c r="K17" s="2337">
        <f t="shared" si="0"/>
        <v>96.66177613988592</v>
      </c>
      <c r="L17" s="2338"/>
      <c r="M17" s="1393"/>
    </row>
    <row r="18" spans="1:13" s="393" customFormat="1" ht="18" customHeight="1">
      <c r="A18" s="2331" t="s">
        <v>784</v>
      </c>
      <c r="B18" s="2332"/>
      <c r="C18" s="2333"/>
      <c r="D18" s="2334">
        <v>602901743</v>
      </c>
      <c r="E18" s="2335"/>
      <c r="F18" s="2334">
        <f>D18</f>
        <v>602901743</v>
      </c>
      <c r="G18" s="2335"/>
      <c r="H18" s="2334">
        <v>576005422.07</v>
      </c>
      <c r="I18" s="2336"/>
      <c r="J18" s="2335"/>
      <c r="K18" s="2337">
        <f t="shared" si="0"/>
        <v>95.53885500543329</v>
      </c>
      <c r="L18" s="2338"/>
      <c r="M18" s="1393"/>
    </row>
    <row r="19" spans="1:13" s="393" customFormat="1" ht="18" customHeight="1">
      <c r="A19" s="2331" t="s">
        <v>783</v>
      </c>
      <c r="B19" s="2332"/>
      <c r="C19" s="2333"/>
      <c r="D19" s="2334">
        <v>4529208</v>
      </c>
      <c r="E19" s="2335"/>
      <c r="F19" s="2334">
        <f>D19</f>
        <v>4529208</v>
      </c>
      <c r="G19" s="2335"/>
      <c r="H19" s="2334">
        <v>11148123.99</v>
      </c>
      <c r="I19" s="2336"/>
      <c r="J19" s="2335"/>
      <c r="K19" s="2337">
        <f t="shared" si="0"/>
        <v>246.13848580149113</v>
      </c>
      <c r="L19" s="2338"/>
      <c r="M19" s="1393"/>
    </row>
    <row r="20" spans="1:13" s="393" customFormat="1" ht="18" customHeight="1">
      <c r="A20" s="2216" t="s">
        <v>930</v>
      </c>
      <c r="B20" s="2217"/>
      <c r="C20" s="2218"/>
      <c r="D20" s="2343">
        <v>94207607</v>
      </c>
      <c r="E20" s="2344"/>
      <c r="F20" s="2343">
        <f>D20</f>
        <v>94207607</v>
      </c>
      <c r="G20" s="2344"/>
      <c r="H20" s="2343">
        <v>90048107.08</v>
      </c>
      <c r="I20" s="2345"/>
      <c r="J20" s="2344"/>
      <c r="K20" s="2337">
        <f t="shared" si="0"/>
        <v>95.58475153710252</v>
      </c>
      <c r="L20" s="2338"/>
      <c r="M20" s="1393"/>
    </row>
    <row r="21" spans="1:13" s="393" customFormat="1" ht="18" customHeight="1">
      <c r="A21" s="2340"/>
      <c r="B21" s="2341"/>
      <c r="C21" s="2341"/>
      <c r="D21" s="2341"/>
      <c r="E21" s="2341"/>
      <c r="F21" s="2341"/>
      <c r="G21" s="2341"/>
      <c r="H21" s="2341"/>
      <c r="I21" s="2341"/>
      <c r="J21" s="2341"/>
      <c r="K21" s="2341"/>
      <c r="L21" s="2342"/>
      <c r="M21" s="1393"/>
    </row>
    <row r="22" spans="1:13" s="529" customFormat="1" ht="18" customHeight="1">
      <c r="A22" s="2216" t="s">
        <v>340</v>
      </c>
      <c r="B22" s="2217"/>
      <c r="C22" s="2218"/>
      <c r="D22" s="2343">
        <f>SUM(D23:D30)</f>
        <v>1203101634</v>
      </c>
      <c r="E22" s="2344"/>
      <c r="F22" s="2343">
        <f>SUM(F23:F30)</f>
        <v>1203101634</v>
      </c>
      <c r="G22" s="2344"/>
      <c r="H22" s="2343">
        <f>SUM(H23:H30)</f>
        <v>1303968896</v>
      </c>
      <c r="I22" s="2345"/>
      <c r="J22" s="2344"/>
      <c r="K22" s="2337">
        <f aca="true" t="shared" si="1" ref="K22:K31">(H22/F22)*100</f>
        <v>108.38393525114272</v>
      </c>
      <c r="L22" s="2338"/>
      <c r="M22" s="1393"/>
    </row>
    <row r="23" spans="1:13" s="529" customFormat="1" ht="18" customHeight="1">
      <c r="A23" s="2331" t="s">
        <v>341</v>
      </c>
      <c r="B23" s="2332"/>
      <c r="C23" s="2333"/>
      <c r="D23" s="2334">
        <v>516793272</v>
      </c>
      <c r="E23" s="2335"/>
      <c r="F23" s="2334">
        <f>D23</f>
        <v>516793272</v>
      </c>
      <c r="G23" s="2335"/>
      <c r="H23" s="2334">
        <v>570569899.23</v>
      </c>
      <c r="I23" s="2336"/>
      <c r="J23" s="2335"/>
      <c r="K23" s="2337">
        <f t="shared" si="1"/>
        <v>110.40582959253386</v>
      </c>
      <c r="L23" s="2338"/>
      <c r="M23" s="1531"/>
    </row>
    <row r="24" spans="1:13" s="529" customFormat="1" ht="18" customHeight="1">
      <c r="A24" s="2331" t="s">
        <v>342</v>
      </c>
      <c r="B24" s="2332"/>
      <c r="C24" s="2333"/>
      <c r="D24" s="2334">
        <v>4179</v>
      </c>
      <c r="E24" s="2335"/>
      <c r="F24" s="2334">
        <f>D24</f>
        <v>4179</v>
      </c>
      <c r="G24" s="2335"/>
      <c r="H24" s="2334">
        <v>12036.35</v>
      </c>
      <c r="I24" s="2336"/>
      <c r="J24" s="2335"/>
      <c r="K24" s="2337">
        <f t="shared" si="1"/>
        <v>288.019861210816</v>
      </c>
      <c r="L24" s="2338"/>
      <c r="M24" s="1393"/>
    </row>
    <row r="25" spans="1:13" s="529" customFormat="1" ht="18" customHeight="1">
      <c r="A25" s="2331" t="s">
        <v>343</v>
      </c>
      <c r="B25" s="2332"/>
      <c r="C25" s="2333"/>
      <c r="D25" s="2334">
        <v>93191003</v>
      </c>
      <c r="E25" s="2335"/>
      <c r="F25" s="2334">
        <f>D25</f>
        <v>93191003</v>
      </c>
      <c r="G25" s="2335"/>
      <c r="H25" s="2334">
        <v>94360709.57</v>
      </c>
      <c r="I25" s="2336"/>
      <c r="J25" s="2335"/>
      <c r="K25" s="2337">
        <f t="shared" si="1"/>
        <v>101.25517113492168</v>
      </c>
      <c r="L25" s="2338"/>
      <c r="M25" s="1393"/>
    </row>
    <row r="26" spans="1:13" s="529" customFormat="1" ht="18" customHeight="1">
      <c r="A26" s="2331" t="s">
        <v>344</v>
      </c>
      <c r="B26" s="2332"/>
      <c r="C26" s="2333"/>
      <c r="D26" s="2334">
        <v>582236035</v>
      </c>
      <c r="E26" s="2335"/>
      <c r="F26" s="2334">
        <f>D26</f>
        <v>582236035</v>
      </c>
      <c r="G26" s="2335"/>
      <c r="H26" s="2334">
        <v>633184734.08</v>
      </c>
      <c r="I26" s="2336"/>
      <c r="J26" s="2335"/>
      <c r="K26" s="2337">
        <f t="shared" si="1"/>
        <v>108.75052315853313</v>
      </c>
      <c r="L26" s="2338"/>
      <c r="M26" s="1393"/>
    </row>
    <row r="27" spans="1:13" s="529" customFormat="1" ht="18" customHeight="1">
      <c r="A27" s="2331" t="s">
        <v>785</v>
      </c>
      <c r="B27" s="2332"/>
      <c r="C27" s="2333"/>
      <c r="D27" s="2334">
        <v>8069541</v>
      </c>
      <c r="E27" s="2335"/>
      <c r="F27" s="2334">
        <f>D27</f>
        <v>8069541</v>
      </c>
      <c r="G27" s="2335"/>
      <c r="H27" s="2334">
        <v>5841516.77</v>
      </c>
      <c r="I27" s="2336"/>
      <c r="J27" s="2335"/>
      <c r="K27" s="2337">
        <f t="shared" si="1"/>
        <v>72.3897030822447</v>
      </c>
      <c r="L27" s="2338"/>
      <c r="M27" s="1393"/>
    </row>
    <row r="28" spans="1:13" s="529" customFormat="1" ht="18" customHeight="1">
      <c r="A28" s="2339" t="s">
        <v>908</v>
      </c>
      <c r="B28" s="2332"/>
      <c r="C28" s="2333"/>
      <c r="D28" s="2334"/>
      <c r="E28" s="2335"/>
      <c r="F28" s="2334"/>
      <c r="G28" s="2335"/>
      <c r="H28" s="2334"/>
      <c r="I28" s="2336"/>
      <c r="J28" s="2335"/>
      <c r="K28" s="2337"/>
      <c r="L28" s="2338"/>
      <c r="M28" s="1393"/>
    </row>
    <row r="29" spans="1:13" s="529" customFormat="1" ht="18" customHeight="1">
      <c r="A29" s="2331" t="s">
        <v>786</v>
      </c>
      <c r="B29" s="2332"/>
      <c r="C29" s="2333"/>
      <c r="D29" s="2334">
        <v>2807604</v>
      </c>
      <c r="E29" s="2335"/>
      <c r="F29" s="2334">
        <f>D29</f>
        <v>2807604</v>
      </c>
      <c r="G29" s="2335"/>
      <c r="H29" s="2334">
        <v>0</v>
      </c>
      <c r="I29" s="2336"/>
      <c r="J29" s="2335"/>
      <c r="K29" s="2337">
        <f t="shared" si="1"/>
        <v>0</v>
      </c>
      <c r="L29" s="2338"/>
      <c r="M29" s="1393"/>
    </row>
    <row r="30" spans="1:13" s="529" customFormat="1" ht="18" customHeight="1">
      <c r="A30" s="2331" t="s">
        <v>787</v>
      </c>
      <c r="B30" s="2332"/>
      <c r="C30" s="2333"/>
      <c r="D30" s="2334"/>
      <c r="E30" s="2335"/>
      <c r="F30" s="2334"/>
      <c r="G30" s="2335"/>
      <c r="H30" s="2334"/>
      <c r="I30" s="2336"/>
      <c r="J30" s="2335"/>
      <c r="K30" s="2337"/>
      <c r="L30" s="2338"/>
      <c r="M30" s="1393"/>
    </row>
    <row r="31" spans="1:13" s="393" customFormat="1" ht="26.25" customHeight="1">
      <c r="A31" s="2191" t="s">
        <v>790</v>
      </c>
      <c r="B31" s="2192"/>
      <c r="C31" s="2193"/>
      <c r="D31" s="2305">
        <f>D10+D22</f>
        <v>2068259896</v>
      </c>
      <c r="E31" s="2306"/>
      <c r="F31" s="2305">
        <f>F10+F22</f>
        <v>2068259896</v>
      </c>
      <c r="G31" s="2306"/>
      <c r="H31" s="2305">
        <f>H10+H22</f>
        <v>2145071184.9700003</v>
      </c>
      <c r="I31" s="2322"/>
      <c r="J31" s="2306"/>
      <c r="K31" s="2323">
        <f t="shared" si="1"/>
        <v>103.71381223020147</v>
      </c>
      <c r="L31" s="2324"/>
      <c r="M31" s="1393"/>
    </row>
    <row r="32" spans="1:13" s="393" customFormat="1" ht="18.75" customHeight="1" hidden="1">
      <c r="A32" s="1284"/>
      <c r="B32" s="1285"/>
      <c r="C32" s="1286"/>
      <c r="D32" s="1286"/>
      <c r="E32" s="1287"/>
      <c r="F32" s="1287"/>
      <c r="G32" s="1288"/>
      <c r="H32" s="1258"/>
      <c r="I32" s="1289"/>
      <c r="J32" s="1252"/>
      <c r="K32" s="1290"/>
      <c r="L32" s="1193"/>
      <c r="M32" s="1393"/>
    </row>
    <row r="33" spans="1:13" s="393" customFormat="1" ht="19.5" customHeight="1" hidden="1">
      <c r="A33" s="1284"/>
      <c r="B33" s="1285"/>
      <c r="C33" s="1291"/>
      <c r="D33" s="1291"/>
      <c r="E33" s="1292"/>
      <c r="F33" s="1292"/>
      <c r="G33" s="1293"/>
      <c r="H33" s="1258"/>
      <c r="I33" s="1289"/>
      <c r="J33" s="1252"/>
      <c r="K33" s="1233"/>
      <c r="L33" s="1193"/>
      <c r="M33" s="1393"/>
    </row>
    <row r="34" spans="1:13" s="393" customFormat="1" ht="9" customHeight="1">
      <c r="A34" s="1284"/>
      <c r="B34" s="2325"/>
      <c r="C34" s="2325"/>
      <c r="D34" s="2325"/>
      <c r="E34" s="2325"/>
      <c r="F34" s="2325"/>
      <c r="G34" s="2325"/>
      <c r="H34" s="2325"/>
      <c r="I34" s="2325"/>
      <c r="J34" s="2325"/>
      <c r="K34" s="2325"/>
      <c r="L34" s="2326"/>
      <c r="M34" s="1393"/>
    </row>
    <row r="35" spans="1:13" s="393" customFormat="1" ht="21.75" customHeight="1">
      <c r="A35" s="2231" t="s">
        <v>791</v>
      </c>
      <c r="B35" s="2232"/>
      <c r="C35" s="2307"/>
      <c r="D35" s="2329" t="s">
        <v>228</v>
      </c>
      <c r="E35" s="2314" t="s">
        <v>881</v>
      </c>
      <c r="F35" s="2288" t="s">
        <v>324</v>
      </c>
      <c r="G35" s="2288"/>
      <c r="H35" s="2319" t="s">
        <v>160</v>
      </c>
      <c r="I35" s="2320"/>
      <c r="J35" s="2321" t="s">
        <v>795</v>
      </c>
      <c r="K35" s="2321"/>
      <c r="L35" s="2327" t="s">
        <v>887</v>
      </c>
      <c r="M35" s="1393"/>
    </row>
    <row r="36" spans="1:13" s="1234" customFormat="1" ht="36.75" customHeight="1">
      <c r="A36" s="2316"/>
      <c r="B36" s="2317"/>
      <c r="C36" s="2318"/>
      <c r="D36" s="2330"/>
      <c r="E36" s="2315"/>
      <c r="F36" s="1256" t="s">
        <v>858</v>
      </c>
      <c r="G36" s="1298" t="s">
        <v>793</v>
      </c>
      <c r="H36" s="1256" t="s">
        <v>886</v>
      </c>
      <c r="I36" s="1298" t="s">
        <v>794</v>
      </c>
      <c r="J36" s="1299" t="s">
        <v>885</v>
      </c>
      <c r="K36" s="1300" t="s">
        <v>796</v>
      </c>
      <c r="L36" s="2328"/>
      <c r="M36" s="1393"/>
    </row>
    <row r="37" spans="1:13" s="529" customFormat="1" ht="18" customHeight="1">
      <c r="A37" s="2226" t="s">
        <v>797</v>
      </c>
      <c r="B37" s="2227"/>
      <c r="C37" s="2228"/>
      <c r="D37" s="1253">
        <f>D38+D39</f>
        <v>11674163.28</v>
      </c>
      <c r="E37" s="1253">
        <f>E38+E39</f>
        <v>19916397.44</v>
      </c>
      <c r="F37" s="1253">
        <f>F38+F39</f>
        <v>18043622.93</v>
      </c>
      <c r="G37" s="1365">
        <f>(F37/E37)*100</f>
        <v>90.59682095799751</v>
      </c>
      <c r="H37" s="1253">
        <f>H38+H39</f>
        <v>17427380.43</v>
      </c>
      <c r="I37" s="1253">
        <f>(H37/E37)*100</f>
        <v>87.50267452987723</v>
      </c>
      <c r="J37" s="1253">
        <f>J38+J39</f>
        <v>14144656.37</v>
      </c>
      <c r="K37" s="1253">
        <f>(J37/E37)*100</f>
        <v>71.02015518927101</v>
      </c>
      <c r="L37" s="1253">
        <f>L38+L39</f>
        <v>616242.5</v>
      </c>
      <c r="M37" s="1393"/>
    </row>
    <row r="38" spans="1:13" s="393" customFormat="1" ht="18" customHeight="1">
      <c r="A38" s="2235" t="s">
        <v>798</v>
      </c>
      <c r="B38" s="2236"/>
      <c r="C38" s="2237"/>
      <c r="D38" s="1254">
        <v>11674163.28</v>
      </c>
      <c r="E38" s="1294">
        <f>4959121.68+5321520.12-1550542.08+6715041.6+7259134.1-3099040.16</f>
        <v>19605235.26</v>
      </c>
      <c r="F38" s="1294">
        <f>6974121.8+10786283.1</f>
        <v>17760404.9</v>
      </c>
      <c r="G38" s="1365">
        <f aca="true" t="shared" si="2" ref="G38:G58">(F38/E38)*100</f>
        <v>90.59011363273993</v>
      </c>
      <c r="H38" s="1274">
        <f>6671221.05+10472941.35</f>
        <v>17144162.4</v>
      </c>
      <c r="I38" s="1253">
        <f aca="true" t="shared" si="3" ref="I38:I58">(H38/E38)*100</f>
        <v>87.44685882438115</v>
      </c>
      <c r="J38" s="1277">
        <f>3846550.97+10014887.37</f>
        <v>13861438.34</v>
      </c>
      <c r="K38" s="1253">
        <f aca="true" t="shared" si="4" ref="K38:K58">(J38/E38)*100</f>
        <v>70.70273912132589</v>
      </c>
      <c r="L38" s="1183">
        <f>F38-H38</f>
        <v>616242.5</v>
      </c>
      <c r="M38" s="1393"/>
    </row>
    <row r="39" spans="1:13" s="393" customFormat="1" ht="18" customHeight="1">
      <c r="A39" s="2235" t="s">
        <v>799</v>
      </c>
      <c r="B39" s="2236"/>
      <c r="C39" s="2237"/>
      <c r="D39" s="1275"/>
      <c r="E39" s="1279">
        <f>605923.63-294761.45</f>
        <v>311162.18</v>
      </c>
      <c r="F39" s="1279">
        <f>283218.03</f>
        <v>283218.03</v>
      </c>
      <c r="G39" s="1369">
        <f t="shared" si="2"/>
        <v>91.0194259469451</v>
      </c>
      <c r="H39" s="1279">
        <v>283218.03</v>
      </c>
      <c r="I39" s="1253">
        <f t="shared" si="3"/>
        <v>91.0194259469451</v>
      </c>
      <c r="J39" s="1371">
        <v>283218.03</v>
      </c>
      <c r="K39" s="1253">
        <f t="shared" si="4"/>
        <v>91.0194259469451</v>
      </c>
      <c r="L39" s="1183">
        <f>F39-H39</f>
        <v>0</v>
      </c>
      <c r="M39" s="1393"/>
    </row>
    <row r="40" spans="1:13" s="529" customFormat="1" ht="18" customHeight="1">
      <c r="A40" s="2226" t="s">
        <v>800</v>
      </c>
      <c r="B40" s="2227"/>
      <c r="C40" s="2228"/>
      <c r="D40" s="1253">
        <f>D41+D42</f>
        <v>215703543.58</v>
      </c>
      <c r="E40" s="1253">
        <f>E41+E42</f>
        <v>235245819.83</v>
      </c>
      <c r="F40" s="1253">
        <f>F41+F42</f>
        <v>213818428.64000002</v>
      </c>
      <c r="G40" s="1365">
        <f t="shared" si="2"/>
        <v>90.89148907917493</v>
      </c>
      <c r="H40" s="1253">
        <f>H41+H42</f>
        <v>209571393.88</v>
      </c>
      <c r="I40" s="1253">
        <f t="shared" si="3"/>
        <v>89.08612872757799</v>
      </c>
      <c r="J40" s="1253">
        <f>J41+J42</f>
        <v>197076410.98999998</v>
      </c>
      <c r="K40" s="1253">
        <f t="shared" si="4"/>
        <v>83.77467073906644</v>
      </c>
      <c r="L40" s="1394">
        <f>L41+L42</f>
        <v>4247034.760000011</v>
      </c>
      <c r="M40" s="1393"/>
    </row>
    <row r="41" spans="1:13" s="393" customFormat="1" ht="18" customHeight="1">
      <c r="A41" s="2235" t="s">
        <v>798</v>
      </c>
      <c r="B41" s="2236"/>
      <c r="C41" s="2237"/>
      <c r="D41" s="1254">
        <v>215703543.58</v>
      </c>
      <c r="E41" s="1294">
        <f>197074959.66+41003058.16-28440890.01+18628583.92+16269792.11-9811816.18</f>
        <v>234723687.66000003</v>
      </c>
      <c r="F41" s="1294">
        <f>190850823.37+22449073.09</f>
        <v>213299896.46</v>
      </c>
      <c r="G41" s="1365">
        <f t="shared" si="2"/>
        <v>90.8727613247826</v>
      </c>
      <c r="H41" s="1274">
        <f>189301543.72+19754917.97</f>
        <v>209056461.69</v>
      </c>
      <c r="I41" s="1253">
        <f t="shared" si="3"/>
        <v>89.06491874515055</v>
      </c>
      <c r="J41" s="1277">
        <f>178950024.73+18107847.03</f>
        <v>197057871.76</v>
      </c>
      <c r="K41" s="1253">
        <f t="shared" si="4"/>
        <v>83.95312536391324</v>
      </c>
      <c r="L41" s="1183">
        <f>F41-H41</f>
        <v>4243434.770000011</v>
      </c>
      <c r="M41" s="1393"/>
    </row>
    <row r="42" spans="1:13" s="393" customFormat="1" ht="18" customHeight="1">
      <c r="A42" s="2235" t="s">
        <v>799</v>
      </c>
      <c r="B42" s="2236"/>
      <c r="C42" s="2237"/>
      <c r="D42" s="1254"/>
      <c r="E42" s="1294">
        <f>608403.31-86271.14</f>
        <v>522132.17000000004</v>
      </c>
      <c r="F42" s="1294">
        <v>518532.18</v>
      </c>
      <c r="G42" s="1365">
        <f t="shared" si="2"/>
        <v>99.31052131876876</v>
      </c>
      <c r="H42" s="1274">
        <v>514932.19</v>
      </c>
      <c r="I42" s="1253">
        <f t="shared" si="3"/>
        <v>98.62104263753754</v>
      </c>
      <c r="J42" s="1277">
        <v>18539.23</v>
      </c>
      <c r="K42" s="1253">
        <f t="shared" si="4"/>
        <v>3.5506775995051214</v>
      </c>
      <c r="L42" s="1183">
        <f>F42-H42</f>
        <v>3599.9899999999907</v>
      </c>
      <c r="M42" s="1393"/>
    </row>
    <row r="43" spans="1:13" s="529" customFormat="1" ht="18" customHeight="1">
      <c r="A43" s="2226" t="s">
        <v>801</v>
      </c>
      <c r="B43" s="2227"/>
      <c r="C43" s="2228"/>
      <c r="D43" s="1253">
        <f>D44+D45</f>
        <v>780000</v>
      </c>
      <c r="E43" s="1253">
        <f>E44+E45</f>
        <v>0</v>
      </c>
      <c r="F43" s="1253">
        <f>F44+F45</f>
        <v>0</v>
      </c>
      <c r="G43" s="1365" t="e">
        <f t="shared" si="2"/>
        <v>#DIV/0!</v>
      </c>
      <c r="H43" s="1253">
        <f>H44+H45</f>
        <v>0</v>
      </c>
      <c r="I43" s="1253" t="e">
        <f t="shared" si="3"/>
        <v>#DIV/0!</v>
      </c>
      <c r="J43" s="1253">
        <f>J44+J45</f>
        <v>0</v>
      </c>
      <c r="K43" s="1253" t="e">
        <f t="shared" si="4"/>
        <v>#DIV/0!</v>
      </c>
      <c r="L43" s="1394">
        <f>L44+L45</f>
        <v>0</v>
      </c>
      <c r="M43" s="1393"/>
    </row>
    <row r="44" spans="1:13" s="393" customFormat="1" ht="18" customHeight="1">
      <c r="A44" s="2235" t="s">
        <v>798</v>
      </c>
      <c r="B44" s="2236"/>
      <c r="C44" s="2237"/>
      <c r="D44" s="1254">
        <v>780000</v>
      </c>
      <c r="E44" s="1294">
        <v>0</v>
      </c>
      <c r="F44" s="1279">
        <v>0</v>
      </c>
      <c r="G44" s="1365"/>
      <c r="H44" s="1274">
        <v>0</v>
      </c>
      <c r="I44" s="1253"/>
      <c r="J44" s="1277">
        <v>0</v>
      </c>
      <c r="K44" s="1253"/>
      <c r="L44" s="1183"/>
      <c r="M44" s="1393"/>
    </row>
    <row r="45" spans="1:13" s="393" customFormat="1" ht="18" customHeight="1">
      <c r="A45" s="2235" t="s">
        <v>799</v>
      </c>
      <c r="B45" s="2236"/>
      <c r="C45" s="2237"/>
      <c r="D45" s="1275"/>
      <c r="E45" s="1279"/>
      <c r="F45" s="1279"/>
      <c r="G45" s="1369"/>
      <c r="H45" s="1279"/>
      <c r="I45" s="1370"/>
      <c r="J45" s="1371"/>
      <c r="K45" s="1370"/>
      <c r="L45" s="1183"/>
      <c r="M45" s="1393"/>
    </row>
    <row r="46" spans="1:13" s="529" customFormat="1" ht="18" customHeight="1">
      <c r="A46" s="2226" t="s">
        <v>802</v>
      </c>
      <c r="B46" s="2227"/>
      <c r="C46" s="2228"/>
      <c r="D46" s="1253">
        <f>D47+D48</f>
        <v>782827</v>
      </c>
      <c r="E46" s="1253">
        <f>E47+E48</f>
        <v>351342</v>
      </c>
      <c r="F46" s="1253">
        <f>F47+F48</f>
        <v>351342</v>
      </c>
      <c r="G46" s="1365">
        <f t="shared" si="2"/>
        <v>100</v>
      </c>
      <c r="H46" s="1253">
        <f>H47+H48</f>
        <v>0</v>
      </c>
      <c r="I46" s="1253">
        <f t="shared" si="3"/>
        <v>0</v>
      </c>
      <c r="J46" s="1253">
        <f>J47+J48</f>
        <v>0</v>
      </c>
      <c r="K46" s="1253">
        <f t="shared" si="4"/>
        <v>0</v>
      </c>
      <c r="L46" s="1394">
        <f>L47+L48</f>
        <v>351342</v>
      </c>
      <c r="M46" s="1393"/>
    </row>
    <row r="47" spans="1:13" s="393" customFormat="1" ht="18" customHeight="1">
      <c r="A47" s="2235" t="s">
        <v>798</v>
      </c>
      <c r="B47" s="2236"/>
      <c r="C47" s="2237"/>
      <c r="D47" s="1254">
        <v>682827</v>
      </c>
      <c r="E47" s="1294">
        <f>377054-377054+305773-305773</f>
        <v>0</v>
      </c>
      <c r="F47" s="1279">
        <v>0</v>
      </c>
      <c r="G47" s="1536" t="e">
        <f t="shared" si="2"/>
        <v>#DIV/0!</v>
      </c>
      <c r="H47" s="1535">
        <v>0</v>
      </c>
      <c r="I47" s="1254" t="e">
        <f t="shared" si="3"/>
        <v>#DIV/0!</v>
      </c>
      <c r="J47" s="1537">
        <v>0</v>
      </c>
      <c r="K47" s="1254" t="e">
        <f t="shared" si="4"/>
        <v>#DIV/0!</v>
      </c>
      <c r="L47" s="1183">
        <f>F47-H47</f>
        <v>0</v>
      </c>
      <c r="M47" s="1393"/>
    </row>
    <row r="48" spans="1:13" s="393" customFormat="1" ht="18" customHeight="1">
      <c r="A48" s="2235" t="s">
        <v>799</v>
      </c>
      <c r="B48" s="2236"/>
      <c r="C48" s="2237"/>
      <c r="D48" s="1254">
        <v>100000</v>
      </c>
      <c r="E48" s="1294">
        <f>100000+351342-100000</f>
        <v>351342</v>
      </c>
      <c r="F48" s="1279">
        <v>351342</v>
      </c>
      <c r="G48" s="1365">
        <f t="shared" si="2"/>
        <v>100</v>
      </c>
      <c r="H48" s="1274">
        <v>0</v>
      </c>
      <c r="I48" s="1253">
        <f t="shared" si="3"/>
        <v>0</v>
      </c>
      <c r="J48" s="1277">
        <v>0</v>
      </c>
      <c r="K48" s="1253">
        <f t="shared" si="4"/>
        <v>0</v>
      </c>
      <c r="L48" s="1183">
        <f>F48-H48</f>
        <v>351342</v>
      </c>
      <c r="M48" s="1393"/>
    </row>
    <row r="49" spans="1:13" s="529" customFormat="1" ht="18" customHeight="1">
      <c r="A49" s="2226" t="s">
        <v>803</v>
      </c>
      <c r="B49" s="2227"/>
      <c r="C49" s="2228"/>
      <c r="D49" s="1253">
        <f>D50+D51</f>
        <v>5625341.62</v>
      </c>
      <c r="E49" s="1253">
        <f>E50+E51</f>
        <v>7145962.54</v>
      </c>
      <c r="F49" s="1253">
        <f>F50+F51</f>
        <v>6096844.8100000005</v>
      </c>
      <c r="G49" s="1365">
        <f t="shared" si="2"/>
        <v>85.3187345423728</v>
      </c>
      <c r="H49" s="1253">
        <f>H50+H51</f>
        <v>5942603.34</v>
      </c>
      <c r="I49" s="1253">
        <f t="shared" si="3"/>
        <v>83.16029235720008</v>
      </c>
      <c r="J49" s="1253">
        <f>J50+J51</f>
        <v>4070140.6399999997</v>
      </c>
      <c r="K49" s="1253">
        <f t="shared" si="4"/>
        <v>56.95720649551571</v>
      </c>
      <c r="L49" s="1394">
        <f>L50+L51</f>
        <v>154241.47000000067</v>
      </c>
      <c r="M49" s="1393"/>
    </row>
    <row r="50" spans="1:13" s="393" customFormat="1" ht="18" customHeight="1">
      <c r="A50" s="2235" t="s">
        <v>798</v>
      </c>
      <c r="B50" s="2236"/>
      <c r="C50" s="2237"/>
      <c r="D50" s="1254">
        <v>5625341.62</v>
      </c>
      <c r="E50" s="1294">
        <f>3483594.62+2790799.12-940503.57+2141747+520172.59-849847.22</f>
        <v>7145962.54</v>
      </c>
      <c r="F50" s="1294">
        <f>4284772.44+1812072.37</f>
        <v>6096844.8100000005</v>
      </c>
      <c r="G50" s="1365">
        <f>(F50/E50)*100</f>
        <v>85.3187345423728</v>
      </c>
      <c r="H50" s="1528">
        <f>4284772.44+1657830.9</f>
        <v>5942603.34</v>
      </c>
      <c r="I50" s="1253">
        <f t="shared" si="3"/>
        <v>83.16029235720008</v>
      </c>
      <c r="J50" s="1277">
        <f>2562250.34+1507890.3</f>
        <v>4070140.6399999997</v>
      </c>
      <c r="K50" s="1253">
        <f t="shared" si="4"/>
        <v>56.95720649551571</v>
      </c>
      <c r="L50" s="1183">
        <f>F50-H50</f>
        <v>154241.47000000067</v>
      </c>
      <c r="M50" s="1393"/>
    </row>
    <row r="51" spans="1:13" s="393" customFormat="1" ht="18" customHeight="1">
      <c r="A51" s="2235" t="s">
        <v>799</v>
      </c>
      <c r="B51" s="2236"/>
      <c r="C51" s="2237"/>
      <c r="D51" s="1275"/>
      <c r="E51" s="1279"/>
      <c r="F51" s="1279">
        <v>0</v>
      </c>
      <c r="G51" s="1369"/>
      <c r="H51" s="1274">
        <v>0</v>
      </c>
      <c r="I51" s="1370"/>
      <c r="J51" s="1277">
        <v>0</v>
      </c>
      <c r="K51" s="1370"/>
      <c r="L51" s="1183">
        <f>F51-H51</f>
        <v>0</v>
      </c>
      <c r="M51" s="1393"/>
    </row>
    <row r="52" spans="1:13" s="529" customFormat="1" ht="18" customHeight="1">
      <c r="A52" s="2226" t="s">
        <v>804</v>
      </c>
      <c r="B52" s="2227"/>
      <c r="C52" s="2228"/>
      <c r="D52" s="1253">
        <f>D53+D54</f>
        <v>0</v>
      </c>
      <c r="E52" s="1253">
        <f>E53+E54</f>
        <v>0</v>
      </c>
      <c r="F52" s="1253">
        <f>F53+F54</f>
        <v>0</v>
      </c>
      <c r="G52" s="1365" t="e">
        <f t="shared" si="2"/>
        <v>#DIV/0!</v>
      </c>
      <c r="H52" s="1253">
        <f>H53+H54</f>
        <v>0</v>
      </c>
      <c r="I52" s="1365" t="e">
        <f t="shared" si="3"/>
        <v>#DIV/0!</v>
      </c>
      <c r="J52" s="1253">
        <f>J53+J54</f>
        <v>0</v>
      </c>
      <c r="K52" s="1365" t="e">
        <f t="shared" si="4"/>
        <v>#DIV/0!</v>
      </c>
      <c r="L52" s="1394">
        <f>L53+L54</f>
        <v>0</v>
      </c>
      <c r="M52" s="1393"/>
    </row>
    <row r="53" spans="1:13" s="393" customFormat="1" ht="18" customHeight="1">
      <c r="A53" s="2235" t="s">
        <v>798</v>
      </c>
      <c r="B53" s="2236"/>
      <c r="C53" s="2237"/>
      <c r="D53" s="1275"/>
      <c r="E53" s="1279"/>
      <c r="F53" s="1279"/>
      <c r="G53" s="1369"/>
      <c r="H53" s="1274"/>
      <c r="I53" s="1370"/>
      <c r="J53" s="1277"/>
      <c r="K53" s="1370"/>
      <c r="L53" s="1183"/>
      <c r="M53" s="1393"/>
    </row>
    <row r="54" spans="1:13" s="393" customFormat="1" ht="18" customHeight="1">
      <c r="A54" s="2235" t="s">
        <v>799</v>
      </c>
      <c r="B54" s="2236"/>
      <c r="C54" s="2237"/>
      <c r="D54" s="1275"/>
      <c r="E54" s="1279"/>
      <c r="F54" s="1279"/>
      <c r="G54" s="1369"/>
      <c r="H54" s="1274"/>
      <c r="I54" s="1370"/>
      <c r="J54" s="1277"/>
      <c r="K54" s="1370"/>
      <c r="L54" s="1183"/>
      <c r="M54" s="1393"/>
    </row>
    <row r="55" spans="1:13" s="529" customFormat="1" ht="18" customHeight="1">
      <c r="A55" s="2226" t="s">
        <v>805</v>
      </c>
      <c r="B55" s="2227"/>
      <c r="C55" s="2228"/>
      <c r="D55" s="1253">
        <f>D56+D57</f>
        <v>291903310.72</v>
      </c>
      <c r="E55" s="1253">
        <f>E56+E57</f>
        <v>263321023.12</v>
      </c>
      <c r="F55" s="1253">
        <f>F56+F57</f>
        <v>262208933.51000002</v>
      </c>
      <c r="G55" s="1365">
        <f t="shared" si="2"/>
        <v>99.57766774683495</v>
      </c>
      <c r="H55" s="1253">
        <f>H56+H57</f>
        <v>258132869.41000003</v>
      </c>
      <c r="I55" s="1253">
        <f t="shared" si="3"/>
        <v>98.02972294102183</v>
      </c>
      <c r="J55" s="1253">
        <f>J56+J57</f>
        <v>254292184.08999997</v>
      </c>
      <c r="K55" s="1253">
        <f t="shared" si="4"/>
        <v>96.57116666074724</v>
      </c>
      <c r="L55" s="1394">
        <f>L56+L57</f>
        <v>4076064.099999994</v>
      </c>
      <c r="M55" s="1393"/>
    </row>
    <row r="56" spans="1:13" s="393" customFormat="1" ht="18" customHeight="1">
      <c r="A56" s="2235" t="s">
        <v>798</v>
      </c>
      <c r="B56" s="2236"/>
      <c r="C56" s="2237"/>
      <c r="D56" s="1254">
        <v>291718310.72</v>
      </c>
      <c r="E56" s="1294">
        <f>103000+53470.04-35799.47+223849591.2+98115.37-17244478.82+11575719.52+4249446.68-3113787.1+56190000-12404254.3</f>
        <v>263321023.12</v>
      </c>
      <c r="F56" s="1294">
        <f>116042.47+206278027.52+12383190.75+43431672.77</f>
        <v>262208933.51000002</v>
      </c>
      <c r="G56" s="1365">
        <f t="shared" si="2"/>
        <v>99.57766774683495</v>
      </c>
      <c r="H56" s="1274">
        <f>206158378.4+10964941.62+98384.9+40911164.49</f>
        <v>258132869.41000003</v>
      </c>
      <c r="I56" s="1253">
        <f t="shared" si="3"/>
        <v>98.02972294102183</v>
      </c>
      <c r="J56" s="1277">
        <f>205964163.81+10619213.2+88862.51+37619944.57</f>
        <v>254292184.08999997</v>
      </c>
      <c r="K56" s="1253">
        <f t="shared" si="4"/>
        <v>96.57116666074724</v>
      </c>
      <c r="L56" s="1183">
        <f>F56-H56</f>
        <v>4076064.099999994</v>
      </c>
      <c r="M56" s="1393"/>
    </row>
    <row r="57" spans="1:15" s="393" customFormat="1" ht="18" customHeight="1">
      <c r="A57" s="2235" t="s">
        <v>799</v>
      </c>
      <c r="B57" s="2236"/>
      <c r="C57" s="2237"/>
      <c r="D57" s="1254">
        <v>185000</v>
      </c>
      <c r="E57" s="1294">
        <v>0</v>
      </c>
      <c r="F57" s="1279">
        <v>0</v>
      </c>
      <c r="G57" s="1536" t="e">
        <f t="shared" si="2"/>
        <v>#DIV/0!</v>
      </c>
      <c r="H57" s="1535">
        <v>0</v>
      </c>
      <c r="I57" s="1254" t="e">
        <f t="shared" si="3"/>
        <v>#DIV/0!</v>
      </c>
      <c r="J57" s="1537">
        <v>0</v>
      </c>
      <c r="K57" s="1254" t="e">
        <f t="shared" si="4"/>
        <v>#DIV/0!</v>
      </c>
      <c r="L57" s="1183">
        <f>F57-H57</f>
        <v>0</v>
      </c>
      <c r="M57" s="1393"/>
      <c r="O57" s="1393"/>
    </row>
    <row r="58" spans="1:13" s="529" customFormat="1" ht="24" customHeight="1">
      <c r="A58" s="2231" t="s">
        <v>806</v>
      </c>
      <c r="B58" s="2232"/>
      <c r="C58" s="2307"/>
      <c r="D58" s="1322">
        <f>D37+D40+D43+D46+D49+D52+D55</f>
        <v>526469186.20000005</v>
      </c>
      <c r="E58" s="1322">
        <f>E37+E40+E43+E46+E49+E52+E55</f>
        <v>525980544.93</v>
      </c>
      <c r="F58" s="1322">
        <f>F37+F40+F43+F46+F49+F52+F55</f>
        <v>500519171.89000005</v>
      </c>
      <c r="G58" s="1366">
        <f t="shared" si="2"/>
        <v>95.15925573950868</v>
      </c>
      <c r="H58" s="1322">
        <f>H37+H40+H43+H46+H49+H52+H55</f>
        <v>491074247.06000006</v>
      </c>
      <c r="I58" s="1362">
        <f t="shared" si="3"/>
        <v>93.36357623747368</v>
      </c>
      <c r="J58" s="1322">
        <f>J37+J40+J43+J46+J49+J52+J55</f>
        <v>469583392.0899999</v>
      </c>
      <c r="K58" s="1362">
        <f t="shared" si="4"/>
        <v>89.27771124167612</v>
      </c>
      <c r="L58" s="1529">
        <f>L37+L40+L43+L46+L49+L52+L55</f>
        <v>9444924.830000006</v>
      </c>
      <c r="M58" s="1393"/>
    </row>
    <row r="59" spans="1:13" s="529" customFormat="1" ht="24" customHeight="1">
      <c r="A59" s="1313"/>
      <c r="B59" s="1313"/>
      <c r="C59" s="1313"/>
      <c r="D59" s="1326"/>
      <c r="E59" s="1326"/>
      <c r="F59" s="1326"/>
      <c r="G59" s="1327"/>
      <c r="H59" s="1326"/>
      <c r="I59" s="1328"/>
      <c r="J59" s="1326"/>
      <c r="K59" s="1328"/>
      <c r="L59" s="1326"/>
      <c r="M59" s="1393"/>
    </row>
    <row r="60" spans="1:13" s="529" customFormat="1" ht="24" customHeight="1">
      <c r="A60" s="1316"/>
      <c r="B60" s="1316"/>
      <c r="C60" s="1316"/>
      <c r="D60" s="1323"/>
      <c r="E60" s="1323"/>
      <c r="F60" s="1323"/>
      <c r="G60" s="1324"/>
      <c r="H60" s="1323"/>
      <c r="I60" s="1325"/>
      <c r="J60" s="1323"/>
      <c r="K60" s="1325"/>
      <c r="L60" s="1323"/>
      <c r="M60" s="1393"/>
    </row>
    <row r="61" spans="1:13" s="529" customFormat="1" ht="24" customHeight="1">
      <c r="A61" s="1316"/>
      <c r="B61" s="1316"/>
      <c r="C61" s="1316"/>
      <c r="D61" s="1323"/>
      <c r="E61" s="1323"/>
      <c r="F61" s="1323"/>
      <c r="G61" s="1324"/>
      <c r="H61" s="1323"/>
      <c r="I61" s="1325"/>
      <c r="J61" s="1323"/>
      <c r="K61" s="1325"/>
      <c r="L61" s="1323"/>
      <c r="M61" s="1393"/>
    </row>
    <row r="62" spans="1:13" s="529" customFormat="1" ht="24" customHeight="1">
      <c r="A62" s="1316"/>
      <c r="B62" s="1316"/>
      <c r="C62" s="1316"/>
      <c r="D62" s="1323"/>
      <c r="E62" s="1323"/>
      <c r="F62" s="1323"/>
      <c r="G62" s="1324"/>
      <c r="H62" s="1323"/>
      <c r="I62" s="1325"/>
      <c r="J62" s="1323"/>
      <c r="K62" s="1325"/>
      <c r="L62" s="1323"/>
      <c r="M62" s="1393"/>
    </row>
    <row r="63" spans="1:13" s="529" customFormat="1" ht="24" customHeight="1">
      <c r="A63" s="1316"/>
      <c r="B63" s="1316"/>
      <c r="C63" s="1316"/>
      <c r="D63" s="1323"/>
      <c r="E63" s="1323"/>
      <c r="F63" s="1323"/>
      <c r="G63" s="1324"/>
      <c r="H63" s="1323"/>
      <c r="I63" s="1325"/>
      <c r="J63" s="1323"/>
      <c r="K63" s="1325"/>
      <c r="L63" s="1323"/>
      <c r="M63" s="1393"/>
    </row>
    <row r="64" spans="1:13" s="393" customFormat="1" ht="10.5" customHeight="1">
      <c r="A64" s="2308"/>
      <c r="B64" s="2308"/>
      <c r="C64" s="2308"/>
      <c r="D64" s="2308"/>
      <c r="E64" s="2308"/>
      <c r="F64" s="2308"/>
      <c r="G64" s="2308"/>
      <c r="H64" s="2308"/>
      <c r="I64" s="2308"/>
      <c r="J64" s="2308"/>
      <c r="K64" s="2308"/>
      <c r="L64" s="2308"/>
      <c r="M64" s="1393"/>
    </row>
    <row r="65" spans="1:13" s="393" customFormat="1" ht="31.5" customHeight="1">
      <c r="A65" s="2309" t="s">
        <v>807</v>
      </c>
      <c r="B65" s="2310"/>
      <c r="C65" s="2310"/>
      <c r="D65" s="2310"/>
      <c r="E65" s="2310"/>
      <c r="F65" s="2311"/>
      <c r="G65" s="2242" t="s">
        <v>809</v>
      </c>
      <c r="H65" s="2243"/>
      <c r="I65" s="2255" t="s">
        <v>808</v>
      </c>
      <c r="J65" s="2257"/>
      <c r="K65" s="2312" t="s">
        <v>888</v>
      </c>
      <c r="L65" s="2313"/>
      <c r="M65" s="1393"/>
    </row>
    <row r="66" spans="1:13" s="393" customFormat="1" ht="19.5" customHeight="1">
      <c r="A66" s="2235" t="s">
        <v>810</v>
      </c>
      <c r="B66" s="2236"/>
      <c r="C66" s="2236"/>
      <c r="D66" s="2236"/>
      <c r="E66" s="2236"/>
      <c r="F66" s="2237"/>
      <c r="G66" s="1687">
        <f>F58</f>
        <v>500519171.89000005</v>
      </c>
      <c r="H66" s="1688"/>
      <c r="I66" s="1687">
        <f>H58</f>
        <v>491074247.06000006</v>
      </c>
      <c r="J66" s="1688"/>
      <c r="K66" s="1687">
        <f>J58</f>
        <v>469583392.0899999</v>
      </c>
      <c r="L66" s="1688"/>
      <c r="M66" s="1393"/>
    </row>
    <row r="67" spans="1:13" s="393" customFormat="1" ht="19.5" customHeight="1">
      <c r="A67" s="2194" t="s">
        <v>911</v>
      </c>
      <c r="B67" s="2236"/>
      <c r="C67" s="2236"/>
      <c r="D67" s="2236"/>
      <c r="E67" s="2236"/>
      <c r="F67" s="2237"/>
      <c r="G67" s="1687">
        <v>24048517.7</v>
      </c>
      <c r="H67" s="1688"/>
      <c r="I67" s="1687"/>
      <c r="J67" s="1688"/>
      <c r="K67" s="1687"/>
      <c r="L67" s="1688"/>
      <c r="M67" s="1393"/>
    </row>
    <row r="68" spans="1:13" s="393" customFormat="1" ht="19.5" customHeight="1">
      <c r="A68" s="2194" t="s">
        <v>910</v>
      </c>
      <c r="B68" s="2236"/>
      <c r="C68" s="2236"/>
      <c r="D68" s="2236"/>
      <c r="E68" s="2236"/>
      <c r="F68" s="2237"/>
      <c r="G68" s="1687"/>
      <c r="H68" s="1688"/>
      <c r="I68" s="1687"/>
      <c r="J68" s="1688"/>
      <c r="K68" s="1687"/>
      <c r="L68" s="1688"/>
      <c r="M68" s="1393"/>
    </row>
    <row r="69" spans="1:13" s="393" customFormat="1" ht="19.5" customHeight="1">
      <c r="A69" s="2194" t="s">
        <v>909</v>
      </c>
      <c r="B69" s="2236"/>
      <c r="C69" s="2236"/>
      <c r="D69" s="2236"/>
      <c r="E69" s="2236"/>
      <c r="F69" s="2237"/>
      <c r="G69" s="1687"/>
      <c r="H69" s="1688"/>
      <c r="I69" s="1687"/>
      <c r="J69" s="1688"/>
      <c r="K69" s="1687">
        <v>0</v>
      </c>
      <c r="L69" s="1688"/>
      <c r="M69" s="1393"/>
    </row>
    <row r="70" spans="1:13" s="529" customFormat="1" ht="19.5" customHeight="1">
      <c r="A70" s="2191" t="s">
        <v>811</v>
      </c>
      <c r="B70" s="2192"/>
      <c r="C70" s="2192"/>
      <c r="D70" s="2192"/>
      <c r="E70" s="2192"/>
      <c r="F70" s="2193">
        <f aca="true" t="shared" si="5" ref="F70:L70">F66-F67-F68-F69</f>
        <v>0</v>
      </c>
      <c r="G70" s="2305">
        <f t="shared" si="5"/>
        <v>476470654.19000006</v>
      </c>
      <c r="H70" s="2306">
        <f t="shared" si="5"/>
        <v>0</v>
      </c>
      <c r="I70" s="2305">
        <f t="shared" si="5"/>
        <v>491074247.06000006</v>
      </c>
      <c r="J70" s="2306">
        <f t="shared" si="5"/>
        <v>0</v>
      </c>
      <c r="K70" s="2305">
        <f t="shared" si="5"/>
        <v>469583392.0899999</v>
      </c>
      <c r="L70" s="2306">
        <f t="shared" si="5"/>
        <v>0</v>
      </c>
      <c r="M70" s="1393"/>
    </row>
    <row r="71" spans="1:13" s="393" customFormat="1" ht="19.5" customHeight="1">
      <c r="A71" s="2259" t="s">
        <v>813</v>
      </c>
      <c r="B71" s="2283"/>
      <c r="C71" s="2283"/>
      <c r="D71" s="2283"/>
      <c r="E71" s="2283"/>
      <c r="F71" s="2260"/>
      <c r="G71" s="2301">
        <f>H31*0.15</f>
        <v>321760677.7455</v>
      </c>
      <c r="H71" s="2301"/>
      <c r="I71" s="2301"/>
      <c r="J71" s="2301"/>
      <c r="K71" s="2301"/>
      <c r="L71" s="2301"/>
      <c r="M71" s="1393"/>
    </row>
    <row r="72" spans="1:13" s="393" customFormat="1" ht="19.5" customHeight="1">
      <c r="A72" s="2259" t="s">
        <v>814</v>
      </c>
      <c r="B72" s="2283"/>
      <c r="C72" s="2283"/>
      <c r="D72" s="2283"/>
      <c r="E72" s="2283"/>
      <c r="F72" s="2260"/>
      <c r="G72" s="2300">
        <v>0</v>
      </c>
      <c r="H72" s="2300"/>
      <c r="I72" s="2300"/>
      <c r="J72" s="2300"/>
      <c r="K72" s="2300"/>
      <c r="L72" s="2300"/>
      <c r="M72" s="1393"/>
    </row>
    <row r="73" spans="1:13" s="393" customFormat="1" ht="19.5" customHeight="1">
      <c r="A73" s="2259" t="s">
        <v>912</v>
      </c>
      <c r="B73" s="2283"/>
      <c r="C73" s="2283"/>
      <c r="D73" s="2283"/>
      <c r="E73" s="2283"/>
      <c r="F73" s="2260"/>
      <c r="G73" s="2301">
        <f>I70-G71</f>
        <v>169313569.31450003</v>
      </c>
      <c r="H73" s="2301"/>
      <c r="I73" s="2301"/>
      <c r="J73" s="2301"/>
      <c r="K73" s="2301"/>
      <c r="L73" s="2301"/>
      <c r="M73" s="1393"/>
    </row>
    <row r="74" spans="1:13" s="393" customFormat="1" ht="19.5" customHeight="1">
      <c r="A74" s="2259" t="s">
        <v>1010</v>
      </c>
      <c r="B74" s="2283"/>
      <c r="C74" s="2283"/>
      <c r="D74" s="2283"/>
      <c r="E74" s="2283"/>
      <c r="F74" s="2260"/>
      <c r="G74" s="2302">
        <v>0</v>
      </c>
      <c r="H74" s="2303"/>
      <c r="I74" s="2303"/>
      <c r="J74" s="2303"/>
      <c r="K74" s="2303"/>
      <c r="L74" s="2304"/>
      <c r="M74" s="1393"/>
    </row>
    <row r="75" spans="1:13" s="1306" customFormat="1" ht="31.5" customHeight="1">
      <c r="A75" s="2261" t="s">
        <v>812</v>
      </c>
      <c r="B75" s="2262"/>
      <c r="C75" s="2262"/>
      <c r="D75" s="2262"/>
      <c r="E75" s="2262"/>
      <c r="F75" s="2263"/>
      <c r="G75" s="2288">
        <f>(G70/H31)*100</f>
        <v>22.21234696212022</v>
      </c>
      <c r="H75" s="2288"/>
      <c r="I75" s="2288"/>
      <c r="J75" s="2288"/>
      <c r="K75" s="2288"/>
      <c r="L75" s="2288"/>
      <c r="M75" s="1532"/>
    </row>
    <row r="76" spans="1:13" s="393" customFormat="1" ht="14.25">
      <c r="A76" s="2279"/>
      <c r="B76" s="2280"/>
      <c r="C76" s="2280"/>
      <c r="D76" s="2280"/>
      <c r="E76" s="2280"/>
      <c r="F76" s="2280"/>
      <c r="G76" s="2280"/>
      <c r="H76" s="2280"/>
      <c r="I76" s="2280"/>
      <c r="J76" s="2280"/>
      <c r="K76" s="2280"/>
      <c r="L76" s="2281"/>
      <c r="M76" s="1393"/>
    </row>
    <row r="77" spans="1:13" s="529" customFormat="1" ht="20.25" customHeight="1">
      <c r="A77" s="2289" t="s">
        <v>815</v>
      </c>
      <c r="B77" s="2290"/>
      <c r="C77" s="2290"/>
      <c r="D77" s="2290"/>
      <c r="E77" s="2291"/>
      <c r="F77" s="2298" t="s">
        <v>816</v>
      </c>
      <c r="G77" s="2298"/>
      <c r="H77" s="2298"/>
      <c r="I77" s="2298"/>
      <c r="J77" s="2298"/>
      <c r="K77" s="2298"/>
      <c r="L77" s="2298"/>
      <c r="M77" s="1393"/>
    </row>
    <row r="78" spans="1:13" s="529" customFormat="1" ht="29.25" customHeight="1">
      <c r="A78" s="2292"/>
      <c r="B78" s="2293"/>
      <c r="C78" s="2293"/>
      <c r="D78" s="2293"/>
      <c r="E78" s="2294"/>
      <c r="F78" s="2298" t="s">
        <v>882</v>
      </c>
      <c r="G78" s="2298"/>
      <c r="H78" s="2298" t="s">
        <v>818</v>
      </c>
      <c r="I78" s="2298"/>
      <c r="J78" s="2298"/>
      <c r="K78" s="2299" t="s">
        <v>817</v>
      </c>
      <c r="L78" s="2299"/>
      <c r="M78" s="1393"/>
    </row>
    <row r="79" spans="1:13" s="529" customFormat="1" ht="33.75" customHeight="1">
      <c r="A79" s="2295"/>
      <c r="B79" s="2296"/>
      <c r="C79" s="2296"/>
      <c r="D79" s="2296"/>
      <c r="E79" s="2297"/>
      <c r="F79" s="2298"/>
      <c r="G79" s="2298"/>
      <c r="H79" s="1302" t="s">
        <v>819</v>
      </c>
      <c r="I79" s="1302" t="s">
        <v>820</v>
      </c>
      <c r="J79" s="1302" t="s">
        <v>889</v>
      </c>
      <c r="K79" s="2299"/>
      <c r="L79" s="2299"/>
      <c r="M79" s="1393"/>
    </row>
    <row r="80" spans="1:13" s="393" customFormat="1" ht="19.5" customHeight="1">
      <c r="A80" s="2259" t="s">
        <v>914</v>
      </c>
      <c r="B80" s="2283"/>
      <c r="C80" s="2283"/>
      <c r="D80" s="2283"/>
      <c r="E80" s="2260"/>
      <c r="F80" s="2284"/>
      <c r="G80" s="2285"/>
      <c r="H80" s="1375"/>
      <c r="I80" s="1376"/>
      <c r="J80" s="1376"/>
      <c r="K80" s="2284"/>
      <c r="L80" s="2285"/>
      <c r="M80" s="1393"/>
    </row>
    <row r="81" spans="1:13" s="393" customFormat="1" ht="19.5" customHeight="1">
      <c r="A81" s="2259" t="s">
        <v>821</v>
      </c>
      <c r="B81" s="2283"/>
      <c r="C81" s="2283"/>
      <c r="D81" s="2283"/>
      <c r="E81" s="2260"/>
      <c r="F81" s="2284"/>
      <c r="G81" s="2285"/>
      <c r="H81" s="1375"/>
      <c r="I81" s="1376"/>
      <c r="J81" s="1376"/>
      <c r="K81" s="2284"/>
      <c r="L81" s="2285"/>
      <c r="M81" s="1393"/>
    </row>
    <row r="82" spans="1:13" s="393" customFormat="1" ht="19.5" customHeight="1">
      <c r="A82" s="2259" t="s">
        <v>1011</v>
      </c>
      <c r="B82" s="2283"/>
      <c r="C82" s="2283"/>
      <c r="D82" s="2283"/>
      <c r="E82" s="2260"/>
      <c r="F82" s="2284"/>
      <c r="G82" s="2285"/>
      <c r="H82" s="1375"/>
      <c r="I82" s="1376"/>
      <c r="J82" s="1376"/>
      <c r="K82" s="2284"/>
      <c r="L82" s="2285"/>
      <c r="M82" s="1393"/>
    </row>
    <row r="83" spans="1:13" s="529" customFormat="1" ht="19.5" customHeight="1">
      <c r="A83" s="2261" t="s">
        <v>822</v>
      </c>
      <c r="B83" s="2262"/>
      <c r="C83" s="2262"/>
      <c r="D83" s="2262"/>
      <c r="E83" s="2263"/>
      <c r="F83" s="2286"/>
      <c r="G83" s="2287"/>
      <c r="H83" s="1303"/>
      <c r="I83" s="1303"/>
      <c r="J83" s="1247"/>
      <c r="K83" s="2286"/>
      <c r="L83" s="2287"/>
      <c r="M83" s="1393"/>
    </row>
    <row r="84" spans="1:13" s="393" customFormat="1" ht="7.5" customHeight="1">
      <c r="A84" s="2279"/>
      <c r="B84" s="2280"/>
      <c r="C84" s="2280"/>
      <c r="D84" s="2280"/>
      <c r="E84" s="2280"/>
      <c r="F84" s="2280"/>
      <c r="G84" s="2280"/>
      <c r="H84" s="2280"/>
      <c r="I84" s="2280"/>
      <c r="J84" s="2280"/>
      <c r="K84" s="2280"/>
      <c r="L84" s="2281"/>
      <c r="M84" s="1393"/>
    </row>
    <row r="85" spans="1:13" s="529" customFormat="1" ht="19.5" customHeight="1">
      <c r="A85" s="2272" t="s">
        <v>823</v>
      </c>
      <c r="B85" s="2273"/>
      <c r="C85" s="2273"/>
      <c r="D85" s="2273"/>
      <c r="E85" s="2273"/>
      <c r="F85" s="2273"/>
      <c r="G85" s="2273"/>
      <c r="H85" s="2273"/>
      <c r="I85" s="2273"/>
      <c r="J85" s="2273"/>
      <c r="K85" s="2273"/>
      <c r="L85" s="2274"/>
      <c r="M85" s="1393"/>
    </row>
    <row r="86" spans="1:13" s="1305" customFormat="1" ht="74.25" customHeight="1">
      <c r="A86" s="2282" t="s">
        <v>824</v>
      </c>
      <c r="B86" s="2282"/>
      <c r="C86" s="1304" t="s">
        <v>825</v>
      </c>
      <c r="D86" s="1304" t="s">
        <v>826</v>
      </c>
      <c r="E86" s="1304" t="s">
        <v>827</v>
      </c>
      <c r="F86" s="1304" t="s">
        <v>890</v>
      </c>
      <c r="G86" s="1304" t="s">
        <v>828</v>
      </c>
      <c r="H86" s="1304" t="s">
        <v>829</v>
      </c>
      <c r="I86" s="1304" t="s">
        <v>830</v>
      </c>
      <c r="J86" s="1304" t="s">
        <v>831</v>
      </c>
      <c r="K86" s="1304" t="s">
        <v>832</v>
      </c>
      <c r="L86" s="1257" t="s">
        <v>941</v>
      </c>
      <c r="M86" s="1393"/>
    </row>
    <row r="87" spans="1:13" s="393" customFormat="1" ht="18" customHeight="1">
      <c r="A87" s="2259" t="s">
        <v>833</v>
      </c>
      <c r="B87" s="2260"/>
      <c r="C87" s="1390">
        <v>285917559.77</v>
      </c>
      <c r="D87" s="1390">
        <v>467960426.22</v>
      </c>
      <c r="E87" s="1390">
        <v>66603335.04</v>
      </c>
      <c r="F87" s="1279">
        <f>D87-C87</f>
        <v>182042866.45000005</v>
      </c>
      <c r="G87" s="1390">
        <v>116537532.02</v>
      </c>
      <c r="H87" s="1390">
        <v>88053730.15</v>
      </c>
      <c r="I87" s="1390">
        <v>29819238.96</v>
      </c>
      <c r="J87" s="1390">
        <v>28351665.74</v>
      </c>
      <c r="K87" s="1390">
        <v>19114833.74</v>
      </c>
      <c r="L87" s="1294">
        <f>F87+K87-J87</f>
        <v>172806034.45000005</v>
      </c>
      <c r="M87" s="1393"/>
    </row>
    <row r="88" spans="1:13" s="393" customFormat="1" ht="18" customHeight="1">
      <c r="A88" s="2259" t="s">
        <v>834</v>
      </c>
      <c r="B88" s="2260"/>
      <c r="C88" s="1391">
        <v>263324578.41</v>
      </c>
      <c r="D88" s="1391">
        <v>473362869.12</v>
      </c>
      <c r="E88" s="1391">
        <v>15266387.08</v>
      </c>
      <c r="F88" s="1183">
        <f>D88-C88</f>
        <v>210038290.71</v>
      </c>
      <c r="G88" s="1391">
        <v>51128860.12</v>
      </c>
      <c r="H88" s="1391">
        <v>30828259.96</v>
      </c>
      <c r="I88" s="1391">
        <v>20831599.07</v>
      </c>
      <c r="J88" s="1391">
        <v>16790695.41</v>
      </c>
      <c r="K88" s="1391">
        <v>4444186.88</v>
      </c>
      <c r="L88" s="1183">
        <f>F88+K88-J88</f>
        <v>197691782.18</v>
      </c>
      <c r="M88" s="1393"/>
    </row>
    <row r="89" spans="1:13" s="393" customFormat="1" ht="18" customHeight="1">
      <c r="A89" s="2259" t="s">
        <v>835</v>
      </c>
      <c r="B89" s="2260"/>
      <c r="C89" s="1391">
        <v>253231836.99</v>
      </c>
      <c r="D89" s="1391">
        <v>482424321.07</v>
      </c>
      <c r="E89" s="1391">
        <v>52208756.1</v>
      </c>
      <c r="F89" s="1183">
        <f>D89-C89</f>
        <v>229192484.07999998</v>
      </c>
      <c r="G89" s="1391">
        <v>97413927.47</v>
      </c>
      <c r="H89" s="1391">
        <v>58299891.93</v>
      </c>
      <c r="I89" s="1391">
        <v>40252783.74</v>
      </c>
      <c r="J89" s="1391">
        <v>38662586.1</v>
      </c>
      <c r="K89" s="1391">
        <v>25541000.64</v>
      </c>
      <c r="L89" s="1183">
        <f>F89+K89-J89</f>
        <v>216070898.61999997</v>
      </c>
      <c r="M89" s="1393"/>
    </row>
    <row r="90" spans="1:13" s="393" customFormat="1" ht="18" customHeight="1">
      <c r="A90" s="2259" t="s">
        <v>836</v>
      </c>
      <c r="B90" s="2260"/>
      <c r="C90" s="1391">
        <v>231744616.84</v>
      </c>
      <c r="D90" s="1391">
        <v>388375984.3</v>
      </c>
      <c r="E90" s="1391">
        <v>12079390.76</v>
      </c>
      <c r="F90" s="1183">
        <f>D90-C90</f>
        <v>156631367.46</v>
      </c>
      <c r="G90" s="1391">
        <v>56061183.61</v>
      </c>
      <c r="H90" s="1391">
        <v>36440416.77</v>
      </c>
      <c r="I90" s="1391">
        <v>19620766.84</v>
      </c>
      <c r="J90" s="1391">
        <v>19347689.56</v>
      </c>
      <c r="K90" s="1391">
        <v>3203715.56</v>
      </c>
      <c r="L90" s="1183">
        <f>F90+K90-J90</f>
        <v>140487393.46</v>
      </c>
      <c r="M90" s="1393"/>
    </row>
    <row r="91" spans="1:13" s="393" customFormat="1" ht="18" customHeight="1">
      <c r="A91" s="2259" t="s">
        <v>837</v>
      </c>
      <c r="B91" s="2260"/>
      <c r="C91" s="1183"/>
      <c r="D91" s="1183"/>
      <c r="E91" s="1183"/>
      <c r="F91" s="1183">
        <f>D91-C91</f>
        <v>0</v>
      </c>
      <c r="G91" s="1183"/>
      <c r="H91" s="1183"/>
      <c r="I91" s="1183"/>
      <c r="J91" s="1183"/>
      <c r="K91" s="1183"/>
      <c r="L91" s="1183">
        <f>F91+K91-J91</f>
        <v>0</v>
      </c>
      <c r="M91" s="1393"/>
    </row>
    <row r="92" spans="1:13" s="393" customFormat="1" ht="14.25">
      <c r="A92" s="1295"/>
      <c r="B92" s="1296"/>
      <c r="C92" s="1296"/>
      <c r="D92" s="1296"/>
      <c r="E92" s="1244"/>
      <c r="F92" s="1244"/>
      <c r="G92" s="1245"/>
      <c r="H92" s="1245"/>
      <c r="I92" s="1245"/>
      <c r="J92" s="1244"/>
      <c r="K92" s="1246"/>
      <c r="L92" s="1233"/>
      <c r="M92" s="1393"/>
    </row>
    <row r="93" spans="1:13" s="393" customFormat="1" ht="19.5" customHeight="1">
      <c r="A93" s="2261" t="s">
        <v>913</v>
      </c>
      <c r="B93" s="2262"/>
      <c r="C93" s="2262"/>
      <c r="D93" s="2262"/>
      <c r="E93" s="2262"/>
      <c r="F93" s="2262"/>
      <c r="G93" s="2262"/>
      <c r="H93" s="2262"/>
      <c r="I93" s="2262"/>
      <c r="J93" s="2262"/>
      <c r="K93" s="2263"/>
      <c r="L93" s="1309"/>
      <c r="M93" s="1393"/>
    </row>
    <row r="94" spans="1:13" s="393" customFormat="1" ht="14.25">
      <c r="A94" s="2264"/>
      <c r="B94" s="2265"/>
      <c r="C94" s="2265"/>
      <c r="D94" s="2265"/>
      <c r="E94" s="2265"/>
      <c r="F94" s="2265"/>
      <c r="G94" s="2265"/>
      <c r="H94" s="2265"/>
      <c r="I94" s="2265"/>
      <c r="J94" s="2265"/>
      <c r="K94" s="2265"/>
      <c r="L94" s="2266"/>
      <c r="M94" s="1393"/>
    </row>
    <row r="95" spans="1:13" s="393" customFormat="1" ht="15.75" customHeight="1">
      <c r="A95" s="2267" t="s">
        <v>855</v>
      </c>
      <c r="B95" s="2268"/>
      <c r="C95" s="2268"/>
      <c r="D95" s="2268"/>
      <c r="E95" s="2268"/>
      <c r="F95" s="2268"/>
      <c r="G95" s="2269"/>
      <c r="H95" s="2272" t="s">
        <v>405</v>
      </c>
      <c r="I95" s="2273"/>
      <c r="J95" s="2273"/>
      <c r="K95" s="2273"/>
      <c r="L95" s="2274"/>
      <c r="M95" s="1393"/>
    </row>
    <row r="96" spans="1:13" s="393" customFormat="1" ht="14.25">
      <c r="A96" s="2270"/>
      <c r="B96" s="2271"/>
      <c r="C96" s="2271"/>
      <c r="D96" s="2271"/>
      <c r="E96" s="2271"/>
      <c r="F96" s="2271"/>
      <c r="G96" s="2271"/>
      <c r="H96" s="2275" t="s">
        <v>838</v>
      </c>
      <c r="I96" s="2272" t="s">
        <v>942</v>
      </c>
      <c r="J96" s="2273"/>
      <c r="K96" s="2274"/>
      <c r="L96" s="2277" t="s">
        <v>842</v>
      </c>
      <c r="M96" s="1393"/>
    </row>
    <row r="97" spans="1:13" s="393" customFormat="1" ht="22.5" customHeight="1">
      <c r="A97" s="2270"/>
      <c r="B97" s="2271"/>
      <c r="C97" s="2271"/>
      <c r="D97" s="2271"/>
      <c r="E97" s="2271"/>
      <c r="F97" s="2271"/>
      <c r="G97" s="2271"/>
      <c r="H97" s="2276"/>
      <c r="I97" s="1301" t="s">
        <v>839</v>
      </c>
      <c r="J97" s="1301" t="s">
        <v>840</v>
      </c>
      <c r="K97" s="1301" t="s">
        <v>841</v>
      </c>
      <c r="L97" s="2278"/>
      <c r="M97" s="1393"/>
    </row>
    <row r="98" spans="1:13" s="393" customFormat="1" ht="16.5" customHeight="1">
      <c r="A98" s="2249" t="s">
        <v>843</v>
      </c>
      <c r="B98" s="2250"/>
      <c r="C98" s="2250"/>
      <c r="D98" s="2250"/>
      <c r="E98" s="2250"/>
      <c r="F98" s="2250"/>
      <c r="G98" s="2251"/>
      <c r="H98" s="1307">
        <f>L87</f>
        <v>172806034.45000005</v>
      </c>
      <c r="I98" s="1242"/>
      <c r="J98" s="1240"/>
      <c r="K98" s="1240"/>
      <c r="L98" s="1183">
        <f>H98-I98</f>
        <v>172806034.45000005</v>
      </c>
      <c r="M98" s="1393"/>
    </row>
    <row r="99" spans="1:13" s="393" customFormat="1" ht="16.5" customHeight="1">
      <c r="A99" s="2249" t="s">
        <v>844</v>
      </c>
      <c r="B99" s="2250"/>
      <c r="C99" s="2250"/>
      <c r="D99" s="2250"/>
      <c r="E99" s="2250"/>
      <c r="F99" s="2250"/>
      <c r="G99" s="2251"/>
      <c r="H99" s="1307">
        <f>L88</f>
        <v>197691782.18</v>
      </c>
      <c r="I99" s="1242"/>
      <c r="J99" s="1240"/>
      <c r="K99" s="1240"/>
      <c r="L99" s="1183">
        <f>H99-I99</f>
        <v>197691782.18</v>
      </c>
      <c r="M99" s="1393"/>
    </row>
    <row r="100" spans="1:13" s="393" customFormat="1" ht="19.5" customHeight="1">
      <c r="A100" s="2249" t="s">
        <v>845</v>
      </c>
      <c r="B100" s="2250"/>
      <c r="C100" s="2250"/>
      <c r="D100" s="2250"/>
      <c r="E100" s="2250"/>
      <c r="F100" s="2250"/>
      <c r="G100" s="2251"/>
      <c r="H100" s="1308">
        <f>L89+L90+L91</f>
        <v>356558292.08</v>
      </c>
      <c r="I100" s="1242"/>
      <c r="J100" s="1240"/>
      <c r="K100" s="1240"/>
      <c r="L100" s="1183">
        <f>H100-I100</f>
        <v>356558292.08</v>
      </c>
      <c r="M100" s="1393"/>
    </row>
    <row r="101" spans="1:13" s="393" customFormat="1" ht="21.75" customHeight="1">
      <c r="A101" s="2252" t="s">
        <v>846</v>
      </c>
      <c r="B101" s="2252"/>
      <c r="C101" s="2252"/>
      <c r="D101" s="2252"/>
      <c r="E101" s="2252"/>
      <c r="F101" s="2252"/>
      <c r="G101" s="2252"/>
      <c r="H101" s="1310">
        <f>L93</f>
        <v>0</v>
      </c>
      <c r="I101" s="1247"/>
      <c r="J101" s="1248"/>
      <c r="K101" s="1248"/>
      <c r="L101" s="1311">
        <f>H101-I101</f>
        <v>0</v>
      </c>
      <c r="M101" s="1393"/>
    </row>
    <row r="102" spans="1:13" s="393" customFormat="1" ht="10.5" customHeight="1">
      <c r="A102" s="1249"/>
      <c r="B102" s="1250"/>
      <c r="C102" s="1251"/>
      <c r="D102" s="1251"/>
      <c r="E102" s="1250"/>
      <c r="F102" s="1250"/>
      <c r="G102" s="1250"/>
      <c r="H102" s="1250"/>
      <c r="I102" s="1245"/>
      <c r="J102" s="1243"/>
      <c r="K102" s="1246"/>
      <c r="L102" s="1233"/>
      <c r="M102" s="1393"/>
    </row>
    <row r="103" spans="1:13" s="393" customFormat="1" ht="15.75" customHeight="1">
      <c r="A103" s="2253" t="s">
        <v>847</v>
      </c>
      <c r="B103" s="2254"/>
      <c r="C103" s="2254"/>
      <c r="D103" s="2254"/>
      <c r="E103" s="2234"/>
      <c r="F103" s="2258" t="s">
        <v>211</v>
      </c>
      <c r="G103" s="2258"/>
      <c r="H103" s="2240" t="s">
        <v>852</v>
      </c>
      <c r="I103" s="2241"/>
      <c r="J103" s="2244" t="s">
        <v>146</v>
      </c>
      <c r="K103" s="2245"/>
      <c r="L103" s="2246"/>
      <c r="M103" s="1393"/>
    </row>
    <row r="104" spans="1:13" s="393" customFormat="1" ht="26.25" customHeight="1">
      <c r="A104" s="2255"/>
      <c r="B104" s="2256"/>
      <c r="C104" s="2256"/>
      <c r="D104" s="2256"/>
      <c r="E104" s="2257"/>
      <c r="F104" s="2258"/>
      <c r="G104" s="2258"/>
      <c r="H104" s="2242"/>
      <c r="I104" s="2243"/>
      <c r="J104" s="2247" t="s">
        <v>854</v>
      </c>
      <c r="K104" s="2248"/>
      <c r="L104" s="1297" t="s">
        <v>853</v>
      </c>
      <c r="M104" s="1393"/>
    </row>
    <row r="105" spans="1:13" s="529" customFormat="1" ht="18.75" customHeight="1">
      <c r="A105" s="2226" t="s">
        <v>848</v>
      </c>
      <c r="B105" s="2227"/>
      <c r="C105" s="2227"/>
      <c r="D105" s="2227"/>
      <c r="E105" s="2228"/>
      <c r="F105" s="2229">
        <f>F106+F107+F108</f>
        <v>409590096</v>
      </c>
      <c r="G105" s="2230"/>
      <c r="H105" s="2229">
        <f>H106+H107+H108</f>
        <v>528290868.4</v>
      </c>
      <c r="I105" s="2230"/>
      <c r="J105" s="2229">
        <f>J106+J107+J108</f>
        <v>0</v>
      </c>
      <c r="K105" s="2230"/>
      <c r="L105" s="1378">
        <f aca="true" t="shared" si="6" ref="L105:L111">J105/H105*100</f>
        <v>0</v>
      </c>
      <c r="M105" s="1393"/>
    </row>
    <row r="106" spans="1:13" s="393" customFormat="1" ht="18" customHeight="1">
      <c r="A106" s="2235" t="s">
        <v>737</v>
      </c>
      <c r="B106" s="2236"/>
      <c r="C106" s="2236"/>
      <c r="D106" s="2236"/>
      <c r="E106" s="2237"/>
      <c r="F106" s="2238">
        <v>403624403</v>
      </c>
      <c r="G106" s="2239"/>
      <c r="H106" s="2238">
        <v>522325175.4</v>
      </c>
      <c r="I106" s="2239"/>
      <c r="J106" s="2238"/>
      <c r="K106" s="2239"/>
      <c r="L106" s="1378">
        <f t="shared" si="6"/>
        <v>0</v>
      </c>
      <c r="M106" s="1393"/>
    </row>
    <row r="107" spans="1:13" s="393" customFormat="1" ht="18" customHeight="1">
      <c r="A107" s="2235" t="s">
        <v>738</v>
      </c>
      <c r="B107" s="2236"/>
      <c r="C107" s="2236"/>
      <c r="D107" s="2236"/>
      <c r="E107" s="2237"/>
      <c r="F107" s="2238">
        <v>5965693</v>
      </c>
      <c r="G107" s="2239"/>
      <c r="H107" s="2238">
        <v>5965693</v>
      </c>
      <c r="I107" s="2239"/>
      <c r="J107" s="2238"/>
      <c r="K107" s="2239"/>
      <c r="L107" s="1378">
        <f t="shared" si="6"/>
        <v>0</v>
      </c>
      <c r="M107" s="1393"/>
    </row>
    <row r="108" spans="1:13" s="393" customFormat="1" ht="18" customHeight="1">
      <c r="A108" s="2235" t="s">
        <v>739</v>
      </c>
      <c r="B108" s="2236"/>
      <c r="C108" s="2236"/>
      <c r="D108" s="2236"/>
      <c r="E108" s="2237"/>
      <c r="F108" s="2229"/>
      <c r="G108" s="2230"/>
      <c r="H108" s="2229"/>
      <c r="I108" s="2230"/>
      <c r="J108" s="2229"/>
      <c r="K108" s="2230"/>
      <c r="L108" s="1378"/>
      <c r="M108" s="1393"/>
    </row>
    <row r="109" spans="1:13" s="529" customFormat="1" ht="18" customHeight="1">
      <c r="A109" s="2226" t="s">
        <v>849</v>
      </c>
      <c r="B109" s="2227"/>
      <c r="C109" s="2227"/>
      <c r="D109" s="2227"/>
      <c r="E109" s="2228"/>
      <c r="F109" s="2229"/>
      <c r="G109" s="2230"/>
      <c r="H109" s="2229"/>
      <c r="I109" s="2230"/>
      <c r="J109" s="2229"/>
      <c r="K109" s="2230"/>
      <c r="L109" s="1378"/>
      <c r="M109" s="1393"/>
    </row>
    <row r="110" spans="1:13" s="529" customFormat="1" ht="18" customHeight="1">
      <c r="A110" s="2226" t="s">
        <v>850</v>
      </c>
      <c r="B110" s="2227"/>
      <c r="C110" s="2227"/>
      <c r="D110" s="2227"/>
      <c r="E110" s="2228"/>
      <c r="F110" s="2229"/>
      <c r="G110" s="2230"/>
      <c r="H110" s="2229">
        <v>277420</v>
      </c>
      <c r="I110" s="2230"/>
      <c r="J110" s="2229">
        <v>0</v>
      </c>
      <c r="K110" s="2230"/>
      <c r="L110" s="1378">
        <f t="shared" si="6"/>
        <v>0</v>
      </c>
      <c r="M110" s="1393"/>
    </row>
    <row r="111" spans="1:13" s="393" customFormat="1" ht="22.5" customHeight="1">
      <c r="A111" s="2231" t="s">
        <v>851</v>
      </c>
      <c r="B111" s="2232"/>
      <c r="C111" s="2232"/>
      <c r="D111" s="2232"/>
      <c r="E111" s="2232"/>
      <c r="F111" s="2233">
        <f>F105+F109+F110</f>
        <v>409590096</v>
      </c>
      <c r="G111" s="2234"/>
      <c r="H111" s="2233">
        <f>H105+H109+H110</f>
        <v>528568288.4</v>
      </c>
      <c r="I111" s="2234"/>
      <c r="J111" s="2233">
        <f>J105+J109+J110</f>
        <v>0</v>
      </c>
      <c r="K111" s="2234"/>
      <c r="L111" s="1378">
        <f t="shared" si="6"/>
        <v>0</v>
      </c>
      <c r="M111" s="1393"/>
    </row>
    <row r="112" spans="1:13" s="393" customFormat="1" ht="26.25" customHeight="1">
      <c r="A112" s="1313"/>
      <c r="B112" s="1313"/>
      <c r="C112" s="1313"/>
      <c r="D112" s="1313"/>
      <c r="E112" s="1313"/>
      <c r="F112" s="1314"/>
      <c r="G112" s="1315"/>
      <c r="H112" s="1314"/>
      <c r="I112" s="1315"/>
      <c r="J112" s="1314"/>
      <c r="K112" s="1315"/>
      <c r="L112" s="1320"/>
      <c r="M112" s="1393"/>
    </row>
    <row r="113" spans="1:13" s="393" customFormat="1" ht="17.25" customHeight="1">
      <c r="A113" s="1316"/>
      <c r="B113" s="1316"/>
      <c r="C113" s="1316"/>
      <c r="D113" s="1316"/>
      <c r="E113" s="1316"/>
      <c r="F113" s="1317"/>
      <c r="G113" s="1318"/>
      <c r="H113" s="1317"/>
      <c r="I113" s="1318"/>
      <c r="J113" s="1317"/>
      <c r="K113" s="1318"/>
      <c r="L113" s="1319"/>
      <c r="M113" s="1393"/>
    </row>
    <row r="114" spans="1:13" s="393" customFormat="1" ht="26.25" customHeight="1">
      <c r="A114" s="1316"/>
      <c r="B114" s="1316"/>
      <c r="C114" s="1316"/>
      <c r="D114" s="1316"/>
      <c r="E114" s="1316"/>
      <c r="F114" s="1317"/>
      <c r="G114" s="1318"/>
      <c r="H114" s="1317"/>
      <c r="I114" s="1318"/>
      <c r="J114" s="1317"/>
      <c r="K114" s="1318"/>
      <c r="L114" s="1319"/>
      <c r="M114" s="1393"/>
    </row>
    <row r="115" spans="1:13" s="393" customFormat="1" ht="26.25" customHeight="1">
      <c r="A115" s="1316"/>
      <c r="B115" s="1316"/>
      <c r="C115" s="1316"/>
      <c r="D115" s="1316"/>
      <c r="E115" s="1316"/>
      <c r="F115" s="1317"/>
      <c r="G115" s="1318"/>
      <c r="H115" s="1317"/>
      <c r="I115" s="1318"/>
      <c r="J115" s="1317"/>
      <c r="K115" s="1318"/>
      <c r="L115" s="1319"/>
      <c r="M115" s="1393"/>
    </row>
    <row r="116" spans="1:13" s="393" customFormat="1" ht="26.25" customHeight="1">
      <c r="A116" s="2219" t="s">
        <v>891</v>
      </c>
      <c r="B116" s="2219"/>
      <c r="C116" s="2219"/>
      <c r="D116" s="2219"/>
      <c r="E116" s="2219"/>
      <c r="F116" s="2219"/>
      <c r="G116" s="2219"/>
      <c r="H116" s="2219"/>
      <c r="I116" s="2219"/>
      <c r="J116" s="2219"/>
      <c r="K116" s="2219"/>
      <c r="L116" s="2219"/>
      <c r="M116" s="1393"/>
    </row>
    <row r="117" spans="1:13" s="393" customFormat="1" ht="25.5" customHeight="1">
      <c r="A117" s="2220" t="s">
        <v>856</v>
      </c>
      <c r="B117" s="2221"/>
      <c r="C117" s="2222"/>
      <c r="D117" s="2199" t="s">
        <v>228</v>
      </c>
      <c r="E117" s="2199" t="s">
        <v>857</v>
      </c>
      <c r="F117" s="2201" t="s">
        <v>324</v>
      </c>
      <c r="G117" s="2202"/>
      <c r="H117" s="2201" t="s">
        <v>160</v>
      </c>
      <c r="I117" s="2202"/>
      <c r="J117" s="2203" t="s">
        <v>795</v>
      </c>
      <c r="K117" s="2204"/>
      <c r="L117" s="2205" t="s">
        <v>792</v>
      </c>
      <c r="M117" s="1393"/>
    </row>
    <row r="118" spans="1:13" s="393" customFormat="1" ht="41.25" customHeight="1">
      <c r="A118" s="2223"/>
      <c r="B118" s="2224"/>
      <c r="C118" s="2225"/>
      <c r="D118" s="2200"/>
      <c r="E118" s="2200"/>
      <c r="F118" s="1255" t="s">
        <v>859</v>
      </c>
      <c r="G118" s="1255" t="s">
        <v>793</v>
      </c>
      <c r="H118" s="1255" t="s">
        <v>860</v>
      </c>
      <c r="I118" s="1255" t="s">
        <v>794</v>
      </c>
      <c r="J118" s="1255" t="s">
        <v>861</v>
      </c>
      <c r="K118" s="1255" t="s">
        <v>796</v>
      </c>
      <c r="L118" s="2206"/>
      <c r="M118" s="1393"/>
    </row>
    <row r="119" spans="1:13" s="529" customFormat="1" ht="18" customHeight="1">
      <c r="A119" s="2207" t="s">
        <v>862</v>
      </c>
      <c r="B119" s="2208"/>
      <c r="C119" s="2209"/>
      <c r="D119" s="1392">
        <f>D120+D121</f>
        <v>79180318.43</v>
      </c>
      <c r="E119" s="1392">
        <f>E120+E121</f>
        <v>63300787.19999999</v>
      </c>
      <c r="F119" s="1392">
        <f>F120+F121</f>
        <v>51076845.800000004</v>
      </c>
      <c r="G119" s="1365">
        <f>F119/E119*100</f>
        <v>80.6891162958555</v>
      </c>
      <c r="H119" s="1392">
        <f>H120+H121</f>
        <v>47437695.26</v>
      </c>
      <c r="I119" s="1365">
        <f>H119/E119*100</f>
        <v>74.9401348045163</v>
      </c>
      <c r="J119" s="1392">
        <f>J120+J121</f>
        <v>46132203.980000004</v>
      </c>
      <c r="K119" s="1365">
        <f>J119/E119*100</f>
        <v>72.8777729639356</v>
      </c>
      <c r="L119" s="1392">
        <f>L120+L121</f>
        <v>3639150.5400000066</v>
      </c>
      <c r="M119" s="1393"/>
    </row>
    <row r="120" spans="1:13" s="393" customFormat="1" ht="18" customHeight="1">
      <c r="A120" s="2210" t="s">
        <v>798</v>
      </c>
      <c r="B120" s="2211"/>
      <c r="C120" s="2212"/>
      <c r="D120" s="1270">
        <v>67531905.43</v>
      </c>
      <c r="E120" s="1270">
        <f>45722697.65+9574020.12-8134106.33-4959121.68-5321520.12+1550542.08+33483371.06+25411995.42-28709497.1-6715041.6-7259134.1+3099040.16</f>
        <v>57743245.55999999</v>
      </c>
      <c r="F120" s="1271">
        <f>44968988.88-6974121.8+23667936.82-10786283.1</f>
        <v>50876520.800000004</v>
      </c>
      <c r="G120" s="1365">
        <f aca="true" t="shared" si="7" ref="G120:G140">F120/E120*100</f>
        <v>88.10817664749223</v>
      </c>
      <c r="H120" s="1271">
        <f>43223703.65-6671221.05+21157829.01-10472941.35</f>
        <v>47237370.26</v>
      </c>
      <c r="I120" s="1365">
        <f aca="true" t="shared" si="8" ref="I120:I140">H120/E120*100</f>
        <v>81.805880154271</v>
      </c>
      <c r="J120" s="1272">
        <f>40399033.57-3846550.97+19460031.4-10014887.37</f>
        <v>45997626.63</v>
      </c>
      <c r="K120" s="1365">
        <f aca="true" t="shared" si="9" ref="K120:K140">J120/E120*100</f>
        <v>79.65888682548106</v>
      </c>
      <c r="L120" s="1273">
        <f>F120-H120</f>
        <v>3639150.5400000066</v>
      </c>
      <c r="M120" s="1393"/>
    </row>
    <row r="121" spans="1:13" s="393" customFormat="1" ht="18" customHeight="1">
      <c r="A121" s="2210" t="s">
        <v>799</v>
      </c>
      <c r="B121" s="2211"/>
      <c r="C121" s="2212"/>
      <c r="D121" s="1270">
        <v>11648413</v>
      </c>
      <c r="E121" s="1270">
        <f>11648413+1329659.17-7109368.35-605923.63+294761.45</f>
        <v>5557541.640000001</v>
      </c>
      <c r="F121" s="1271">
        <f>483543.03-283218.03</f>
        <v>200325</v>
      </c>
      <c r="G121" s="1365">
        <f t="shared" si="7"/>
        <v>3.6045613866061825</v>
      </c>
      <c r="H121" s="1271">
        <f>483543.03-283218.03</f>
        <v>200325</v>
      </c>
      <c r="I121" s="1365">
        <f t="shared" si="8"/>
        <v>3.6045613866061825</v>
      </c>
      <c r="J121" s="1530">
        <f>417795.38-283218.03</f>
        <v>134577.34999999998</v>
      </c>
      <c r="K121" s="1365">
        <f t="shared" si="9"/>
        <v>2.421526615858158</v>
      </c>
      <c r="L121" s="1273">
        <f>F121-H121</f>
        <v>0</v>
      </c>
      <c r="M121" s="1393"/>
    </row>
    <row r="122" spans="1:13" s="529" customFormat="1" ht="18" customHeight="1">
      <c r="A122" s="2207" t="s">
        <v>863</v>
      </c>
      <c r="B122" s="2208"/>
      <c r="C122" s="2209"/>
      <c r="D122" s="1392">
        <f>D123+D124</f>
        <v>315560879.58</v>
      </c>
      <c r="E122" s="1392">
        <f>E123+E124</f>
        <v>450913660.43000007</v>
      </c>
      <c r="F122" s="1392">
        <f>F123+F124</f>
        <v>405674373.9800001</v>
      </c>
      <c r="G122" s="1365">
        <f t="shared" si="7"/>
        <v>89.9671954034706</v>
      </c>
      <c r="H122" s="1392">
        <f>H123+H124</f>
        <v>353984013.72</v>
      </c>
      <c r="I122" s="1365">
        <f t="shared" si="8"/>
        <v>78.50372361361462</v>
      </c>
      <c r="J122" s="1392">
        <f>J123+J124</f>
        <v>332804343.95000005</v>
      </c>
      <c r="K122" s="1365">
        <f t="shared" si="9"/>
        <v>73.80666703080837</v>
      </c>
      <c r="L122" s="1392">
        <f>L123+L124</f>
        <v>51690360.26000007</v>
      </c>
      <c r="M122" s="1393"/>
    </row>
    <row r="123" spans="1:13" s="393" customFormat="1" ht="18" customHeight="1">
      <c r="A123" s="2210" t="s">
        <v>798</v>
      </c>
      <c r="B123" s="2211"/>
      <c r="C123" s="2212"/>
      <c r="D123" s="1270">
        <v>276702872.12</v>
      </c>
      <c r="E123" s="1270">
        <f>247723135.44+57331455.35-33973112.79-197074959.66-41003058.16+28440890.01+244683280.26+257314618.5-104181606.96-18628583.92-16269792.11+9811816.18</f>
        <v>434174082.14000005</v>
      </c>
      <c r="F123" s="1271">
        <f>250406538.77-190850823.37+353648237.29-22449073.09</f>
        <v>390754879.6000001</v>
      </c>
      <c r="G123" s="1365">
        <f t="shared" si="7"/>
        <v>89.99958672659798</v>
      </c>
      <c r="H123" s="1271">
        <f>248737257.29-189301543.72+310625530.89-19754917.97</f>
        <v>350306326.49</v>
      </c>
      <c r="I123" s="1365">
        <f t="shared" si="8"/>
        <v>80.6833804457824</v>
      </c>
      <c r="J123" s="1272">
        <f>237850853.32-178950024.73+290423237.62-18107847.03</f>
        <v>331216219.18000007</v>
      </c>
      <c r="K123" s="1365">
        <f t="shared" si="9"/>
        <v>76.28650184448341</v>
      </c>
      <c r="L123" s="1273">
        <f>F123-H123</f>
        <v>40448553.110000074</v>
      </c>
      <c r="M123" s="1393"/>
    </row>
    <row r="124" spans="1:13" s="393" customFormat="1" ht="18" customHeight="1">
      <c r="A124" s="2210" t="s">
        <v>799</v>
      </c>
      <c r="B124" s="2211"/>
      <c r="C124" s="2212"/>
      <c r="D124" s="1270">
        <v>38858007.46</v>
      </c>
      <c r="E124" s="1270">
        <f>38858007.46+14156916.63-35753213.63-608403.31+86271.14</f>
        <v>16739578.290000001</v>
      </c>
      <c r="F124" s="1271">
        <f>15438026.56-518532.18</f>
        <v>14919494.38</v>
      </c>
      <c r="G124" s="1365">
        <f t="shared" si="7"/>
        <v>89.1270623520588</v>
      </c>
      <c r="H124" s="1424">
        <f>4192619.42-514932.19</f>
        <v>3677687.23</v>
      </c>
      <c r="I124" s="1365">
        <f t="shared" si="8"/>
        <v>21.97001122899853</v>
      </c>
      <c r="J124" s="1272">
        <f>1606664-18539.23</f>
        <v>1588124.77</v>
      </c>
      <c r="K124" s="1365">
        <f t="shared" si="9"/>
        <v>9.48724479486275</v>
      </c>
      <c r="L124" s="1273">
        <f>F124-H124</f>
        <v>11241807.15</v>
      </c>
      <c r="M124" s="1393"/>
    </row>
    <row r="125" spans="1:13" s="529" customFormat="1" ht="18" customHeight="1">
      <c r="A125" s="2207" t="s">
        <v>864</v>
      </c>
      <c r="B125" s="2208"/>
      <c r="C125" s="2209"/>
      <c r="D125" s="1392">
        <f>D126+D127</f>
        <v>22140562.24</v>
      </c>
      <c r="E125" s="1392">
        <f>E126+E127</f>
        <v>5381327.239999998</v>
      </c>
      <c r="F125" s="1392">
        <f>F126+F127</f>
        <v>3248073.56</v>
      </c>
      <c r="G125" s="1365">
        <f t="shared" si="7"/>
        <v>60.35822419154724</v>
      </c>
      <c r="H125" s="1392">
        <f>H126+H127</f>
        <v>2762513.22</v>
      </c>
      <c r="I125" s="1365">
        <f t="shared" si="8"/>
        <v>51.33516504006549</v>
      </c>
      <c r="J125" s="1392">
        <f>J126+J127</f>
        <v>2761793.22</v>
      </c>
      <c r="K125" s="1365">
        <f t="shared" si="9"/>
        <v>51.32178544116937</v>
      </c>
      <c r="L125" s="1392">
        <f>L126+L127</f>
        <v>485560.33999999985</v>
      </c>
      <c r="M125" s="1393"/>
    </row>
    <row r="126" spans="1:13" s="393" customFormat="1" ht="18" customHeight="1">
      <c r="A126" s="2210" t="s">
        <v>798</v>
      </c>
      <c r="B126" s="2211"/>
      <c r="C126" s="2212"/>
      <c r="D126" s="1270">
        <v>21687354.24</v>
      </c>
      <c r="E126" s="1270">
        <f>22467354.24+1076887.3-18616122.3+453208</f>
        <v>5381327.239999998</v>
      </c>
      <c r="F126" s="1271">
        <v>3248073.56</v>
      </c>
      <c r="G126" s="1365">
        <f t="shared" si="7"/>
        <v>60.35822419154724</v>
      </c>
      <c r="H126" s="1271">
        <v>2762513.22</v>
      </c>
      <c r="I126" s="1365">
        <f t="shared" si="8"/>
        <v>51.33516504006549</v>
      </c>
      <c r="J126" s="1272">
        <v>2761793.22</v>
      </c>
      <c r="K126" s="1365">
        <f t="shared" si="9"/>
        <v>51.32178544116937</v>
      </c>
      <c r="L126" s="1273">
        <f>F126-H126</f>
        <v>485560.33999999985</v>
      </c>
      <c r="M126" s="1393"/>
    </row>
    <row r="127" spans="1:13" s="393" customFormat="1" ht="18" customHeight="1">
      <c r="A127" s="2210" t="s">
        <v>799</v>
      </c>
      <c r="B127" s="2211"/>
      <c r="C127" s="2212"/>
      <c r="D127" s="1270">
        <v>453208</v>
      </c>
      <c r="E127" s="1270">
        <v>0</v>
      </c>
      <c r="F127" s="1271"/>
      <c r="G127" s="1365"/>
      <c r="H127" s="1271"/>
      <c r="I127" s="1365"/>
      <c r="J127" s="1272"/>
      <c r="K127" s="1365"/>
      <c r="L127" s="1273">
        <f>F127-H127</f>
        <v>0</v>
      </c>
      <c r="M127" s="1393"/>
    </row>
    <row r="128" spans="1:13" s="529" customFormat="1" ht="18" customHeight="1">
      <c r="A128" s="2207" t="s">
        <v>865</v>
      </c>
      <c r="B128" s="2208"/>
      <c r="C128" s="2209"/>
      <c r="D128" s="1392">
        <f>D129+D130</f>
        <v>656800</v>
      </c>
      <c r="E128" s="1392">
        <f>E129+E130</f>
        <v>888907.06</v>
      </c>
      <c r="F128" s="1392">
        <f>F129+F130</f>
        <v>846772.05</v>
      </c>
      <c r="G128" s="1365">
        <f t="shared" si="7"/>
        <v>95.2599082743251</v>
      </c>
      <c r="H128" s="1392">
        <f>H129+H130</f>
        <v>843870.45</v>
      </c>
      <c r="I128" s="1365">
        <f t="shared" si="8"/>
        <v>94.93348494723396</v>
      </c>
      <c r="J128" s="1392">
        <f>J129+J130</f>
        <v>839914.15</v>
      </c>
      <c r="K128" s="1365">
        <f t="shared" si="9"/>
        <v>94.48841029567254</v>
      </c>
      <c r="L128" s="1392">
        <f>L129+L130</f>
        <v>2901.600000000093</v>
      </c>
      <c r="M128" s="1393"/>
    </row>
    <row r="129" spans="1:13" s="393" customFormat="1" ht="18" customHeight="1">
      <c r="A129" s="2210" t="s">
        <v>798</v>
      </c>
      <c r="B129" s="2211"/>
      <c r="C129" s="2212"/>
      <c r="D129" s="1274">
        <v>656800</v>
      </c>
      <c r="E129" s="1275">
        <f>754087+392295-377054+585540+11748.09-477709.03</f>
        <v>888907.06</v>
      </c>
      <c r="F129" s="1276">
        <f>733500+113272.05</f>
        <v>846772.05</v>
      </c>
      <c r="G129" s="1365">
        <f t="shared" si="7"/>
        <v>95.2599082743251</v>
      </c>
      <c r="H129" s="1276">
        <f>733500+110370.45</f>
        <v>843870.45</v>
      </c>
      <c r="I129" s="1365">
        <f t="shared" si="8"/>
        <v>94.93348494723396</v>
      </c>
      <c r="J129" s="1277">
        <f>733500+106414.15</f>
        <v>839914.15</v>
      </c>
      <c r="K129" s="1365">
        <f t="shared" si="9"/>
        <v>94.48841029567254</v>
      </c>
      <c r="L129" s="1273">
        <f>F129-H129</f>
        <v>2901.600000000093</v>
      </c>
      <c r="M129" s="1393"/>
    </row>
    <row r="130" spans="1:13" s="393" customFormat="1" ht="18" customHeight="1">
      <c r="A130" s="2210" t="s">
        <v>799</v>
      </c>
      <c r="B130" s="2211"/>
      <c r="C130" s="2212"/>
      <c r="D130" s="1275">
        <v>0</v>
      </c>
      <c r="E130" s="1275">
        <f>100000+351342-100000-100000-351342+100000</f>
        <v>0</v>
      </c>
      <c r="F130" s="1276">
        <v>0</v>
      </c>
      <c r="G130" s="1365"/>
      <c r="H130" s="1276">
        <v>0</v>
      </c>
      <c r="I130" s="1365"/>
      <c r="J130" s="1371">
        <v>0</v>
      </c>
      <c r="K130" s="1365"/>
      <c r="L130" s="1273">
        <f>F130-H130</f>
        <v>0</v>
      </c>
      <c r="M130" s="1393"/>
    </row>
    <row r="131" spans="1:13" s="529" customFormat="1" ht="18" customHeight="1">
      <c r="A131" s="2216" t="s">
        <v>866</v>
      </c>
      <c r="B131" s="2217"/>
      <c r="C131" s="2218"/>
      <c r="D131" s="1394">
        <f>D132+D133</f>
        <v>17521944.34</v>
      </c>
      <c r="E131" s="1394">
        <f>E132+E133</f>
        <v>24026338.14</v>
      </c>
      <c r="F131" s="1394">
        <f>F132+F133</f>
        <v>17654095.149999995</v>
      </c>
      <c r="G131" s="1365">
        <f t="shared" si="7"/>
        <v>73.47809327884534</v>
      </c>
      <c r="H131" s="1394">
        <f>H132+H133</f>
        <v>17367016.5</v>
      </c>
      <c r="I131" s="1365">
        <f t="shared" si="8"/>
        <v>72.28324349221866</v>
      </c>
      <c r="J131" s="1394">
        <f>J132+J133</f>
        <v>16931903.46</v>
      </c>
      <c r="K131" s="1365">
        <f t="shared" si="9"/>
        <v>70.47225990635292</v>
      </c>
      <c r="L131" s="1394">
        <f>L132+L133</f>
        <v>287078.6499999948</v>
      </c>
      <c r="M131" s="1393"/>
    </row>
    <row r="132" spans="1:13" s="393" customFormat="1" ht="18" customHeight="1">
      <c r="A132" s="2210" t="s">
        <v>798</v>
      </c>
      <c r="B132" s="2211"/>
      <c r="C132" s="2212"/>
      <c r="D132" s="1275">
        <v>17192088</v>
      </c>
      <c r="E132" s="1276">
        <f>17343011.62+5330060.75-1531244.07-3483594.62-2790799.12+940503.57+5474418+8753696.44-4251092.06-2141747-520172.59+849847.22</f>
        <v>23972888.14</v>
      </c>
      <c r="F132" s="1276">
        <f>19527814.56-4284772.44+4223125.4-1812072.37</f>
        <v>17654095.149999995</v>
      </c>
      <c r="G132" s="1365">
        <f t="shared" si="7"/>
        <v>73.64192018459063</v>
      </c>
      <c r="H132" s="1277">
        <f>19527814.56-4284772.44+3781805.28-1657830.9</f>
        <v>17367016.5</v>
      </c>
      <c r="I132" s="1365">
        <f t="shared" si="8"/>
        <v>72.44440635845723</v>
      </c>
      <c r="J132" s="1277">
        <f>17548261.66-2562250.34+3453782.44-1507890.3</f>
        <v>16931903.46</v>
      </c>
      <c r="K132" s="1365">
        <f t="shared" si="9"/>
        <v>70.62938499991684</v>
      </c>
      <c r="L132" s="1273">
        <f>F132-H132</f>
        <v>287078.6499999948</v>
      </c>
      <c r="M132" s="1393"/>
    </row>
    <row r="133" spans="1:13" s="393" customFormat="1" ht="18" customHeight="1">
      <c r="A133" s="2210" t="s">
        <v>799</v>
      </c>
      <c r="B133" s="2211"/>
      <c r="C133" s="2212"/>
      <c r="D133" s="1278">
        <v>329856.34</v>
      </c>
      <c r="E133" s="1425">
        <f>329856.34+53450-329856.34</f>
        <v>53450</v>
      </c>
      <c r="F133" s="1276"/>
      <c r="G133" s="1365">
        <f t="shared" si="7"/>
        <v>0</v>
      </c>
      <c r="H133" s="1279">
        <v>0</v>
      </c>
      <c r="I133" s="1365">
        <f t="shared" si="8"/>
        <v>0</v>
      </c>
      <c r="J133" s="1277"/>
      <c r="K133" s="1365">
        <f t="shared" si="9"/>
        <v>0</v>
      </c>
      <c r="L133" s="1273">
        <f>F133-H133</f>
        <v>0</v>
      </c>
      <c r="M133" s="1393"/>
    </row>
    <row r="134" spans="1:13" s="529" customFormat="1" ht="18" customHeight="1">
      <c r="A134" s="2216" t="s">
        <v>867</v>
      </c>
      <c r="B134" s="2217"/>
      <c r="C134" s="2218"/>
      <c r="D134" s="1394">
        <f>D135+D136</f>
        <v>774268.61</v>
      </c>
      <c r="E134" s="1394">
        <f>E135+E136</f>
        <v>5280</v>
      </c>
      <c r="F134" s="1394">
        <f>F135+F136</f>
        <v>5280</v>
      </c>
      <c r="G134" s="1365">
        <f t="shared" si="7"/>
        <v>100</v>
      </c>
      <c r="H134" s="1394">
        <f>H135+H136</f>
        <v>5280</v>
      </c>
      <c r="I134" s="1365">
        <f t="shared" si="8"/>
        <v>100</v>
      </c>
      <c r="J134" s="1394">
        <f>J135+J136</f>
        <v>5280</v>
      </c>
      <c r="K134" s="1365">
        <f t="shared" si="9"/>
        <v>100</v>
      </c>
      <c r="L134" s="1394">
        <f>L135+L136</f>
        <v>0</v>
      </c>
      <c r="M134" s="1393"/>
    </row>
    <row r="135" spans="1:13" s="393" customFormat="1" ht="18" customHeight="1">
      <c r="A135" s="2210" t="s">
        <v>798</v>
      </c>
      <c r="B135" s="2211"/>
      <c r="C135" s="2212"/>
      <c r="D135" s="1275">
        <v>774268.61</v>
      </c>
      <c r="E135" s="1275">
        <f>774268.61-768988.61</f>
        <v>5280</v>
      </c>
      <c r="F135" s="1276">
        <v>5280</v>
      </c>
      <c r="G135" s="1365">
        <f t="shared" si="7"/>
        <v>100</v>
      </c>
      <c r="H135" s="1276">
        <v>5280</v>
      </c>
      <c r="I135" s="1365">
        <f t="shared" si="8"/>
        <v>100</v>
      </c>
      <c r="J135" s="1277">
        <v>5280</v>
      </c>
      <c r="K135" s="1365">
        <f t="shared" si="9"/>
        <v>100</v>
      </c>
      <c r="L135" s="1273">
        <f>F135-H135</f>
        <v>0</v>
      </c>
      <c r="M135" s="1393"/>
    </row>
    <row r="136" spans="1:13" s="393" customFormat="1" ht="18" customHeight="1">
      <c r="A136" s="2210" t="s">
        <v>799</v>
      </c>
      <c r="B136" s="2211"/>
      <c r="C136" s="2212"/>
      <c r="D136" s="1275"/>
      <c r="E136" s="1275"/>
      <c r="F136" s="1276"/>
      <c r="G136" s="1369"/>
      <c r="H136" s="1276"/>
      <c r="I136" s="1369"/>
      <c r="J136" s="1277"/>
      <c r="K136" s="1369"/>
      <c r="L136" s="1183"/>
      <c r="M136" s="1393"/>
    </row>
    <row r="137" spans="1:13" s="529" customFormat="1" ht="18" customHeight="1">
      <c r="A137" s="2207" t="s">
        <v>868</v>
      </c>
      <c r="B137" s="2208"/>
      <c r="C137" s="2209"/>
      <c r="D137" s="1394">
        <f>D138+D139</f>
        <v>0</v>
      </c>
      <c r="E137" s="1394">
        <f>E138+E139</f>
        <v>8671520.979999999</v>
      </c>
      <c r="F137" s="1394">
        <f>F138+F139</f>
        <v>7971418.289999995</v>
      </c>
      <c r="G137" s="1369">
        <f t="shared" si="7"/>
        <v>91.92641415946844</v>
      </c>
      <c r="H137" s="1394">
        <f>H138+H139</f>
        <v>7971418.289999997</v>
      </c>
      <c r="I137" s="1369">
        <f t="shared" si="8"/>
        <v>91.92641415946846</v>
      </c>
      <c r="J137" s="1394">
        <f>J138+J139</f>
        <v>7971418.289999995</v>
      </c>
      <c r="K137" s="1369">
        <f t="shared" si="9"/>
        <v>91.92641415946844</v>
      </c>
      <c r="L137" s="1394">
        <f>L138+L139</f>
        <v>0</v>
      </c>
      <c r="M137" s="1393"/>
    </row>
    <row r="138" spans="1:13" s="393" customFormat="1" ht="18" customHeight="1">
      <c r="A138" s="2210" t="s">
        <v>798</v>
      </c>
      <c r="B138" s="2211"/>
      <c r="C138" s="2212"/>
      <c r="D138" s="1275">
        <v>0</v>
      </c>
      <c r="E138" s="1275">
        <f>223849591.2+11177353.78-19873850.03-223849591.2-98115.37+17244478.82+11575719.52+4702446.68-3345133.32-11575719.52-4249446.68+3113787.1+103000+127970.04-110299.47-103000-53470.04+35799.47</f>
        <v>8671520.979999999</v>
      </c>
      <c r="F138" s="1276">
        <f>214029163.15-206278027.52+12603473.41-12383190.75</f>
        <v>7971418.289999995</v>
      </c>
      <c r="G138" s="1369">
        <f t="shared" si="7"/>
        <v>91.92641415946844</v>
      </c>
      <c r="H138" s="1279">
        <f>213909514.03-206158378.4+11185224.28-10964941.62</f>
        <v>7971418.289999997</v>
      </c>
      <c r="I138" s="1369">
        <f t="shared" si="8"/>
        <v>91.92641415946846</v>
      </c>
      <c r="J138" s="1277">
        <f>213715299.44-205964163.81+10839495.86-10619213.2</f>
        <v>7971418.289999995</v>
      </c>
      <c r="K138" s="1369">
        <f t="shared" si="9"/>
        <v>91.92641415946844</v>
      </c>
      <c r="L138" s="1273">
        <f>F138-H138</f>
        <v>0</v>
      </c>
      <c r="M138" s="1393"/>
    </row>
    <row r="139" spans="1:13" s="529" customFormat="1" ht="18" customHeight="1">
      <c r="A139" s="2210" t="s">
        <v>799</v>
      </c>
      <c r="B139" s="2211"/>
      <c r="C139" s="2212"/>
      <c r="D139" s="1275"/>
      <c r="E139" s="1275"/>
      <c r="F139" s="1275"/>
      <c r="G139" s="1369"/>
      <c r="H139" s="1274"/>
      <c r="I139" s="1369"/>
      <c r="J139" s="1277"/>
      <c r="K139" s="1369"/>
      <c r="L139" s="1183"/>
      <c r="M139" s="1393"/>
    </row>
    <row r="140" spans="1:13" s="1269" customFormat="1" ht="26.25" customHeight="1">
      <c r="A140" s="2191" t="s">
        <v>869</v>
      </c>
      <c r="B140" s="2192"/>
      <c r="C140" s="2193"/>
      <c r="D140" s="1280">
        <f>D119+D122+D125+D128+D131+D134+D137</f>
        <v>435834773.2</v>
      </c>
      <c r="E140" s="1280">
        <f>E119+E122+E125+E128+E131+E134+E137</f>
        <v>553187821.0500001</v>
      </c>
      <c r="F140" s="1280">
        <f>F119+F122+F125+F128+F131+F134+F137</f>
        <v>486476858.8300001</v>
      </c>
      <c r="G140" s="1366">
        <f t="shared" si="7"/>
        <v>87.94063070778084</v>
      </c>
      <c r="H140" s="1280">
        <f>H119+H122+H125+H128+H131+H134+H137</f>
        <v>430371807.44000006</v>
      </c>
      <c r="I140" s="1366">
        <f t="shared" si="8"/>
        <v>77.79849647143638</v>
      </c>
      <c r="J140" s="1280">
        <f>J119+J122+J125+J128+J131+J134+J137</f>
        <v>407446857.0500001</v>
      </c>
      <c r="K140" s="1366">
        <f t="shared" si="9"/>
        <v>73.65434334339274</v>
      </c>
      <c r="L140" s="1280">
        <f>L119+L122+L125+L128+L131+L134+L137</f>
        <v>56105051.390000075</v>
      </c>
      <c r="M140" s="1533"/>
    </row>
    <row r="141" spans="1:13" s="529" customFormat="1" ht="15">
      <c r="A141" s="1260"/>
      <c r="B141" s="1261"/>
      <c r="C141" s="1262"/>
      <c r="D141" s="1263"/>
      <c r="E141" s="1264"/>
      <c r="F141" s="1265"/>
      <c r="G141" s="1266"/>
      <c r="H141" s="1267"/>
      <c r="I141" s="1268"/>
      <c r="J141" s="1259"/>
      <c r="K141" s="1241"/>
      <c r="L141" s="1241"/>
      <c r="M141" s="1393"/>
    </row>
    <row r="142" spans="1:13" s="393" customFormat="1" ht="18.75" customHeight="1">
      <c r="A142" s="2213" t="s">
        <v>870</v>
      </c>
      <c r="B142" s="2213"/>
      <c r="C142" s="2213"/>
      <c r="D142" s="2214" t="s">
        <v>228</v>
      </c>
      <c r="E142" s="2199" t="s">
        <v>871</v>
      </c>
      <c r="F142" s="2201" t="s">
        <v>324</v>
      </c>
      <c r="G142" s="2202"/>
      <c r="H142" s="2201" t="s">
        <v>160</v>
      </c>
      <c r="I142" s="2202"/>
      <c r="J142" s="2203" t="s">
        <v>795</v>
      </c>
      <c r="K142" s="2204"/>
      <c r="L142" s="2205" t="s">
        <v>792</v>
      </c>
      <c r="M142" s="1393"/>
    </row>
    <row r="143" spans="1:13" s="393" customFormat="1" ht="38.25" customHeight="1">
      <c r="A143" s="2213"/>
      <c r="B143" s="2213"/>
      <c r="C143" s="2213"/>
      <c r="D143" s="2215"/>
      <c r="E143" s="2200"/>
      <c r="F143" s="1255" t="s">
        <v>859</v>
      </c>
      <c r="G143" s="1255" t="s">
        <v>793</v>
      </c>
      <c r="H143" s="1255" t="s">
        <v>860</v>
      </c>
      <c r="I143" s="1255" t="s">
        <v>794</v>
      </c>
      <c r="J143" s="1255" t="s">
        <v>861</v>
      </c>
      <c r="K143" s="1255" t="s">
        <v>796</v>
      </c>
      <c r="L143" s="2206"/>
      <c r="M143" s="1393"/>
    </row>
    <row r="144" spans="1:13" s="393" customFormat="1" ht="18" customHeight="1">
      <c r="A144" s="2194" t="s">
        <v>872</v>
      </c>
      <c r="B144" s="2195"/>
      <c r="C144" s="2196"/>
      <c r="D144" s="1312">
        <f>D37+D119</f>
        <v>90854481.71000001</v>
      </c>
      <c r="E144" s="1312">
        <f>E37+E119</f>
        <v>83217184.63999999</v>
      </c>
      <c r="F144" s="1363">
        <f>F37+F119</f>
        <v>69120468.73</v>
      </c>
      <c r="G144" s="1365">
        <f>F144/E144*100</f>
        <v>83.06033066249141</v>
      </c>
      <c r="H144" s="1312">
        <f>H37+H119</f>
        <v>64865075.69</v>
      </c>
      <c r="I144" s="1365">
        <f>H144/E144*100</f>
        <v>77.94673176052306</v>
      </c>
      <c r="J144" s="1312">
        <f>J37+J119</f>
        <v>60276860.35</v>
      </c>
      <c r="K144" s="1365">
        <f>J144/E144*100</f>
        <v>72.43318866260555</v>
      </c>
      <c r="L144" s="1312">
        <f>F144-H144</f>
        <v>4255393.040000007</v>
      </c>
      <c r="M144" s="1393"/>
    </row>
    <row r="145" spans="1:13" s="393" customFormat="1" ht="18" customHeight="1">
      <c r="A145" s="2194" t="s">
        <v>873</v>
      </c>
      <c r="B145" s="2195"/>
      <c r="C145" s="2196"/>
      <c r="D145" s="1312">
        <f>D40+D122</f>
        <v>531264423.15999997</v>
      </c>
      <c r="E145" s="1312">
        <f>E40+E122</f>
        <v>686159480.2600001</v>
      </c>
      <c r="F145" s="1312">
        <f>F40+F122</f>
        <v>619492802.6200001</v>
      </c>
      <c r="G145" s="1365">
        <f aca="true" t="shared" si="10" ref="G145:G153">F145/E145*100</f>
        <v>90.28408415857804</v>
      </c>
      <c r="H145" s="1312">
        <f>H40+H122</f>
        <v>563555407.6</v>
      </c>
      <c r="I145" s="1365">
        <f aca="true" t="shared" si="11" ref="I145:I153">H145/E145*100</f>
        <v>82.13184016439693</v>
      </c>
      <c r="J145" s="1312">
        <f>J40+J122</f>
        <v>529880754.94000006</v>
      </c>
      <c r="K145" s="1365">
        <f aca="true" t="shared" si="12" ref="K145:K153">J145/E145*100</f>
        <v>77.2241396036993</v>
      </c>
      <c r="L145" s="1312">
        <f aca="true" t="shared" si="13" ref="L145:L150">F145-H145</f>
        <v>55937395.0200001</v>
      </c>
      <c r="M145" s="1393"/>
    </row>
    <row r="146" spans="1:13" s="393" customFormat="1" ht="18" customHeight="1">
      <c r="A146" s="2194" t="s">
        <v>874</v>
      </c>
      <c r="B146" s="2195"/>
      <c r="C146" s="2196"/>
      <c r="D146" s="1282">
        <f>D43+D125</f>
        <v>22920562.24</v>
      </c>
      <c r="E146" s="1282">
        <f>E43+E125</f>
        <v>5381327.239999998</v>
      </c>
      <c r="F146" s="1282">
        <f>F43+F125</f>
        <v>3248073.56</v>
      </c>
      <c r="G146" s="1365">
        <f t="shared" si="10"/>
        <v>60.35822419154724</v>
      </c>
      <c r="H146" s="1282">
        <f>H43+H125</f>
        <v>2762513.22</v>
      </c>
      <c r="I146" s="1365">
        <f t="shared" si="11"/>
        <v>51.33516504006549</v>
      </c>
      <c r="J146" s="1282">
        <f>J43+J125</f>
        <v>2761793.22</v>
      </c>
      <c r="K146" s="1365">
        <f t="shared" si="12"/>
        <v>51.32178544116937</v>
      </c>
      <c r="L146" s="1312">
        <f t="shared" si="13"/>
        <v>485560.33999999985</v>
      </c>
      <c r="M146" s="1393"/>
    </row>
    <row r="147" spans="1:13" s="393" customFormat="1" ht="18" customHeight="1">
      <c r="A147" s="2194" t="s">
        <v>875</v>
      </c>
      <c r="B147" s="2195"/>
      <c r="C147" s="2196"/>
      <c r="D147" s="1281">
        <f>D46+D128</f>
        <v>1439627</v>
      </c>
      <c r="E147" s="1281">
        <f>E46+E128</f>
        <v>1240249.06</v>
      </c>
      <c r="F147" s="1281">
        <f>F46+F128</f>
        <v>1198114.05</v>
      </c>
      <c r="G147" s="1365">
        <f t="shared" si="10"/>
        <v>96.60269768718874</v>
      </c>
      <c r="H147" s="1281">
        <f>H46+H128</f>
        <v>843870.45</v>
      </c>
      <c r="I147" s="1365">
        <f t="shared" si="11"/>
        <v>68.0404023043565</v>
      </c>
      <c r="J147" s="1281">
        <f>J46+J128</f>
        <v>839914.15</v>
      </c>
      <c r="K147" s="1365">
        <f t="shared" si="12"/>
        <v>67.72140992390673</v>
      </c>
      <c r="L147" s="1312">
        <f t="shared" si="13"/>
        <v>354243.6000000001</v>
      </c>
      <c r="M147" s="1393"/>
    </row>
    <row r="148" spans="1:13" s="393" customFormat="1" ht="18" customHeight="1">
      <c r="A148" s="2194" t="s">
        <v>876</v>
      </c>
      <c r="B148" s="2195"/>
      <c r="C148" s="2196"/>
      <c r="D148" s="1281">
        <f>D49+D131</f>
        <v>23147285.96</v>
      </c>
      <c r="E148" s="1281">
        <f>E49+E131</f>
        <v>31172300.68</v>
      </c>
      <c r="F148" s="1281">
        <f>F49+F131</f>
        <v>23750939.959999993</v>
      </c>
      <c r="G148" s="1365">
        <f t="shared" si="10"/>
        <v>76.19245112452828</v>
      </c>
      <c r="H148" s="1281">
        <f>H49+H131</f>
        <v>23309619.84</v>
      </c>
      <c r="I148" s="1365">
        <f t="shared" si="11"/>
        <v>74.776706664309</v>
      </c>
      <c r="J148" s="1281">
        <f>J49+J131</f>
        <v>21002044.1</v>
      </c>
      <c r="K148" s="1365">
        <f t="shared" si="12"/>
        <v>67.37405851302728</v>
      </c>
      <c r="L148" s="1312">
        <f t="shared" si="13"/>
        <v>441320.1199999936</v>
      </c>
      <c r="M148" s="1393"/>
    </row>
    <row r="149" spans="1:13" s="393" customFormat="1" ht="18" customHeight="1">
      <c r="A149" s="2194" t="s">
        <v>877</v>
      </c>
      <c r="B149" s="2195"/>
      <c r="C149" s="2196"/>
      <c r="D149" s="1281">
        <f>D52+D134</f>
        <v>774268.61</v>
      </c>
      <c r="E149" s="1281">
        <f>E52+E134</f>
        <v>5280</v>
      </c>
      <c r="F149" s="1281">
        <f>F52+F134</f>
        <v>5280</v>
      </c>
      <c r="G149" s="1365">
        <f t="shared" si="10"/>
        <v>100</v>
      </c>
      <c r="H149" s="1281">
        <f>H52+H134</f>
        <v>5280</v>
      </c>
      <c r="I149" s="1365">
        <f t="shared" si="11"/>
        <v>100</v>
      </c>
      <c r="J149" s="1281">
        <f>J52+J134</f>
        <v>5280</v>
      </c>
      <c r="K149" s="1365">
        <f t="shared" si="12"/>
        <v>100</v>
      </c>
      <c r="L149" s="1312">
        <f t="shared" si="13"/>
        <v>0</v>
      </c>
      <c r="M149" s="1393"/>
    </row>
    <row r="150" spans="1:13" s="393" customFormat="1" ht="18" customHeight="1">
      <c r="A150" s="2194" t="s">
        <v>878</v>
      </c>
      <c r="B150" s="2195"/>
      <c r="C150" s="2196"/>
      <c r="D150" s="1281">
        <f>D55+D137</f>
        <v>291903310.72</v>
      </c>
      <c r="E150" s="1281">
        <f>E55+E137</f>
        <v>271992544.1</v>
      </c>
      <c r="F150" s="1281">
        <f>F55+F137</f>
        <v>270180351.8</v>
      </c>
      <c r="G150" s="1365">
        <f t="shared" si="10"/>
        <v>99.33373456761603</v>
      </c>
      <c r="H150" s="1281">
        <f>H55+H137</f>
        <v>266104287.70000002</v>
      </c>
      <c r="I150" s="1365">
        <f t="shared" si="11"/>
        <v>97.83514051111814</v>
      </c>
      <c r="J150" s="1281">
        <f>J55+J137</f>
        <v>262263602.37999997</v>
      </c>
      <c r="K150" s="1365">
        <f t="shared" si="12"/>
        <v>96.42308514294305</v>
      </c>
      <c r="L150" s="1312">
        <f t="shared" si="13"/>
        <v>4076064.099999994</v>
      </c>
      <c r="M150" s="1393"/>
    </row>
    <row r="151" spans="1:13" s="393" customFormat="1" ht="18" customHeight="1">
      <c r="A151" s="2191" t="s">
        <v>879</v>
      </c>
      <c r="B151" s="2192"/>
      <c r="C151" s="2193"/>
      <c r="D151" s="1367">
        <f>D58+D140</f>
        <v>962303959.4000001</v>
      </c>
      <c r="E151" s="1367">
        <f>E58+E140</f>
        <v>1079168365.98</v>
      </c>
      <c r="F151" s="1367">
        <f aca="true" t="shared" si="14" ref="F151:L151">F58+F140</f>
        <v>986996030.7200001</v>
      </c>
      <c r="G151" s="1366">
        <f t="shared" si="10"/>
        <v>91.4589476335977</v>
      </c>
      <c r="H151" s="1364">
        <f t="shared" si="14"/>
        <v>921446054.5000001</v>
      </c>
      <c r="I151" s="1366">
        <f t="shared" si="11"/>
        <v>85.38482812765076</v>
      </c>
      <c r="J151" s="1364">
        <f t="shared" si="14"/>
        <v>877030249.14</v>
      </c>
      <c r="K151" s="1366">
        <f t="shared" si="12"/>
        <v>81.26908430489091</v>
      </c>
      <c r="L151" s="1283">
        <f t="shared" si="14"/>
        <v>65549976.22000008</v>
      </c>
      <c r="M151" s="1393"/>
    </row>
    <row r="152" spans="1:13" s="393" customFormat="1" ht="18" customHeight="1">
      <c r="A152" s="2194" t="s">
        <v>880</v>
      </c>
      <c r="B152" s="2195"/>
      <c r="C152" s="2196"/>
      <c r="D152" s="1194"/>
      <c r="E152" s="1192"/>
      <c r="F152" s="1426"/>
      <c r="G152" s="1368"/>
      <c r="H152" s="1427"/>
      <c r="I152" s="1365"/>
      <c r="J152" s="1236"/>
      <c r="K152" s="1365"/>
      <c r="L152" s="1193"/>
      <c r="M152" s="1393"/>
    </row>
    <row r="153" spans="1:13" s="529" customFormat="1" ht="18" customHeight="1">
      <c r="A153" s="2191" t="s">
        <v>907</v>
      </c>
      <c r="B153" s="2192"/>
      <c r="C153" s="2193"/>
      <c r="D153" s="1364">
        <f>D151-D152</f>
        <v>962303959.4000001</v>
      </c>
      <c r="E153" s="1364">
        <f>E151-E152</f>
        <v>1079168365.98</v>
      </c>
      <c r="F153" s="1364">
        <f>F151-F152</f>
        <v>986996030.7200001</v>
      </c>
      <c r="G153" s="1366">
        <f t="shared" si="10"/>
        <v>91.4589476335977</v>
      </c>
      <c r="H153" s="1364">
        <f>H151-H152</f>
        <v>921446054.5000001</v>
      </c>
      <c r="I153" s="1366">
        <f t="shared" si="11"/>
        <v>85.38482812765076</v>
      </c>
      <c r="J153" s="1364">
        <f>J151-J152</f>
        <v>877030249.14</v>
      </c>
      <c r="K153" s="1366">
        <f t="shared" si="12"/>
        <v>81.26908430489091</v>
      </c>
      <c r="L153" s="1364">
        <f>L151-L152</f>
        <v>65549976.22000008</v>
      </c>
      <c r="M153" s="1393"/>
    </row>
    <row r="154" spans="1:11" ht="14.25">
      <c r="A154" s="1196" t="s">
        <v>58</v>
      </c>
      <c r="B154" s="1197"/>
      <c r="C154" s="1197"/>
      <c r="D154" s="1197"/>
      <c r="E154" s="1197"/>
      <c r="F154" s="1197"/>
      <c r="G154" s="1197"/>
      <c r="H154" s="1419"/>
      <c r="I154" s="1195"/>
      <c r="J154" s="1417"/>
      <c r="K154" s="353"/>
    </row>
    <row r="155" spans="1:12" ht="14.25">
      <c r="A155" s="2197" t="str">
        <f>'Anexo 1 _ BAL ORC'!A95</f>
        <v>  São Luís,  de Janeiro de 2021.</v>
      </c>
      <c r="B155" s="2197"/>
      <c r="C155" s="2197"/>
      <c r="D155" s="2197"/>
      <c r="E155" s="2197"/>
      <c r="F155" s="1418"/>
      <c r="G155" s="1321"/>
      <c r="H155" s="1321"/>
      <c r="K155" s="353"/>
      <c r="L155" s="353"/>
    </row>
    <row r="156" spans="1:11" ht="14.25">
      <c r="A156" s="541"/>
      <c r="B156" s="537"/>
      <c r="C156" s="537"/>
      <c r="D156" s="1428"/>
      <c r="E156" s="1428"/>
      <c r="F156" s="537"/>
      <c r="G156" s="537"/>
      <c r="H156" s="537"/>
      <c r="K156" s="353"/>
    </row>
    <row r="157" spans="1:11" ht="14.25">
      <c r="A157" s="541"/>
      <c r="B157" s="537"/>
      <c r="C157" s="537"/>
      <c r="D157" s="537"/>
      <c r="E157" s="1428"/>
      <c r="F157" s="537"/>
      <c r="G157" s="537"/>
      <c r="H157" s="537"/>
      <c r="K157" s="353"/>
    </row>
    <row r="158" spans="1:11" ht="14.25">
      <c r="A158" s="541"/>
      <c r="B158" s="537"/>
      <c r="C158" s="537"/>
      <c r="D158" s="537"/>
      <c r="E158" s="1534"/>
      <c r="F158" s="537"/>
      <c r="G158" s="537"/>
      <c r="H158" s="537"/>
      <c r="K158" s="353"/>
    </row>
    <row r="159" spans="1:11" ht="15">
      <c r="A159" s="541"/>
      <c r="B159" s="531"/>
      <c r="C159" s="537"/>
      <c r="D159" s="531"/>
      <c r="E159" s="537"/>
      <c r="F159" s="537"/>
      <c r="G159" s="537"/>
      <c r="H159" s="537"/>
      <c r="K159" s="353"/>
    </row>
    <row r="160" spans="1:11" ht="14.25">
      <c r="A160" s="541"/>
      <c r="B160" s="532"/>
      <c r="C160" s="537"/>
      <c r="D160" s="532"/>
      <c r="E160" s="537"/>
      <c r="F160" s="537"/>
      <c r="G160" s="537"/>
      <c r="H160" s="537"/>
      <c r="K160" s="353"/>
    </row>
    <row r="161" spans="1:11" ht="14.25">
      <c r="A161" s="541"/>
      <c r="B161" s="537"/>
      <c r="C161" s="537"/>
      <c r="D161" s="537"/>
      <c r="E161" s="537"/>
      <c r="F161" s="537"/>
      <c r="G161" s="537"/>
      <c r="H161" s="537"/>
      <c r="K161" s="353"/>
    </row>
    <row r="162" spans="1:11" ht="14.25">
      <c r="A162" s="541"/>
      <c r="B162" s="537"/>
      <c r="C162" s="537"/>
      <c r="D162" s="537"/>
      <c r="E162" s="537"/>
      <c r="F162" s="537"/>
      <c r="G162" s="537"/>
      <c r="H162" s="537"/>
      <c r="K162" s="353"/>
    </row>
    <row r="163" spans="1:11" ht="14.25">
      <c r="A163" s="541"/>
      <c r="B163" s="537"/>
      <c r="C163" s="537"/>
      <c r="D163" s="537"/>
      <c r="E163" s="537"/>
      <c r="F163" s="537"/>
      <c r="G163" s="537"/>
      <c r="H163" s="537"/>
      <c r="K163" s="353"/>
    </row>
    <row r="164" spans="1:11" ht="12.75" customHeight="1">
      <c r="A164" s="530"/>
      <c r="B164" s="528"/>
      <c r="C164" s="528"/>
      <c r="D164" s="528"/>
      <c r="E164" s="528"/>
      <c r="F164" s="528"/>
      <c r="G164" s="528"/>
      <c r="H164" s="528"/>
      <c r="K164" s="353"/>
    </row>
    <row r="165" spans="1:11" ht="15">
      <c r="A165" s="530"/>
      <c r="B165" s="2198"/>
      <c r="C165" s="2198"/>
      <c r="D165" s="1238"/>
      <c r="E165" s="528"/>
      <c r="F165" s="528"/>
      <c r="G165" s="528"/>
      <c r="H165" s="528"/>
      <c r="K165" s="353"/>
    </row>
    <row r="166" spans="1:11" ht="14.25">
      <c r="A166" s="530"/>
      <c r="B166" s="2190"/>
      <c r="C166" s="2190"/>
      <c r="D166" s="1239"/>
      <c r="E166" s="530"/>
      <c r="F166" s="530"/>
      <c r="G166" s="530"/>
      <c r="H166" s="530"/>
      <c r="K166" s="353"/>
    </row>
    <row r="167" spans="1:11" ht="14.25">
      <c r="A167" s="530"/>
      <c r="B167" s="2190"/>
      <c r="C167" s="2190"/>
      <c r="D167" s="1239"/>
      <c r="E167" s="530"/>
      <c r="F167" s="530"/>
      <c r="G167" s="530"/>
      <c r="H167" s="530"/>
      <c r="K167" s="353"/>
    </row>
    <row r="168" spans="1:11" ht="18" customHeight="1">
      <c r="A168" s="530"/>
      <c r="B168" s="530"/>
      <c r="C168" s="530"/>
      <c r="D168" s="530"/>
      <c r="E168" s="530"/>
      <c r="F168" s="530"/>
      <c r="G168" s="530"/>
      <c r="H168" s="530"/>
      <c r="K168" s="353"/>
    </row>
    <row r="169" spans="1:11" ht="14.25">
      <c r="A169" s="530"/>
      <c r="B169" s="530"/>
      <c r="C169" s="530"/>
      <c r="D169" s="530"/>
      <c r="E169" s="530"/>
      <c r="F169" s="530"/>
      <c r="G169" s="530"/>
      <c r="H169" s="530"/>
      <c r="K169" s="353"/>
    </row>
    <row r="170" spans="2:11" ht="14.25" hidden="1">
      <c r="B170" s="353"/>
      <c r="C170" s="353"/>
      <c r="D170" s="353"/>
      <c r="E170" s="353"/>
      <c r="F170" s="353"/>
      <c r="G170" s="353"/>
      <c r="H170" s="353"/>
      <c r="K170" s="353"/>
    </row>
    <row r="171" spans="2:11" ht="14.25">
      <c r="B171" s="353"/>
      <c r="C171" s="353"/>
      <c r="D171" s="353"/>
      <c r="E171" s="353"/>
      <c r="F171" s="353"/>
      <c r="G171" s="353"/>
      <c r="H171" s="353"/>
      <c r="K171" s="353"/>
    </row>
    <row r="172" spans="2:11" ht="14.25">
      <c r="B172" s="353"/>
      <c r="C172" s="353"/>
      <c r="D172" s="353"/>
      <c r="E172" s="353"/>
      <c r="F172" s="353"/>
      <c r="G172" s="353"/>
      <c r="H172" s="353"/>
      <c r="K172" s="353"/>
    </row>
    <row r="173" spans="2:11" ht="14.25">
      <c r="B173" s="353"/>
      <c r="C173" s="353"/>
      <c r="D173" s="353"/>
      <c r="E173" s="353"/>
      <c r="F173" s="353"/>
      <c r="G173" s="353"/>
      <c r="H173" s="353"/>
      <c r="K173" s="353"/>
    </row>
    <row r="174" spans="2:11" ht="14.25">
      <c r="B174" s="353"/>
      <c r="C174" s="353"/>
      <c r="D174" s="353"/>
      <c r="E174" s="353"/>
      <c r="F174" s="353"/>
      <c r="G174" s="353"/>
      <c r="H174" s="353"/>
      <c r="K174" s="353"/>
    </row>
    <row r="175" spans="2:11" ht="14.25">
      <c r="B175" s="353"/>
      <c r="C175" s="353"/>
      <c r="D175" s="353"/>
      <c r="E175" s="353"/>
      <c r="F175" s="353"/>
      <c r="G175" s="353"/>
      <c r="H175" s="353"/>
      <c r="K175" s="353"/>
    </row>
    <row r="176" spans="2:10" ht="14.25">
      <c r="B176" s="353"/>
      <c r="C176" s="353"/>
      <c r="D176" s="353"/>
      <c r="E176" s="353"/>
      <c r="F176" s="353"/>
      <c r="G176" s="353"/>
      <c r="H176" s="353"/>
      <c r="J176" s="1237"/>
    </row>
    <row r="177" spans="2:10" ht="14.25">
      <c r="B177" s="353"/>
      <c r="C177" s="353"/>
      <c r="D177" s="353"/>
      <c r="E177" s="353"/>
      <c r="F177" s="353"/>
      <c r="G177" s="353"/>
      <c r="H177" s="353"/>
      <c r="J177" s="1237"/>
    </row>
    <row r="178" spans="2:10" ht="14.25">
      <c r="B178" s="353"/>
      <c r="C178" s="353"/>
      <c r="D178" s="353"/>
      <c r="E178" s="353"/>
      <c r="F178" s="353"/>
      <c r="G178" s="353"/>
      <c r="H178" s="353"/>
      <c r="J178" s="1237"/>
    </row>
    <row r="179" spans="2:10" ht="14.25">
      <c r="B179" s="353"/>
      <c r="C179" s="353"/>
      <c r="D179" s="353"/>
      <c r="E179" s="353"/>
      <c r="F179" s="353"/>
      <c r="G179" s="353"/>
      <c r="H179" s="353"/>
      <c r="J179" s="1237"/>
    </row>
  </sheetData>
  <sheetProtection/>
  <mergeCells count="302">
    <mergeCell ref="A1:G1"/>
    <mergeCell ref="A2:G2"/>
    <mergeCell ref="A4:G4"/>
    <mergeCell ref="A5:D5"/>
    <mergeCell ref="A7:C9"/>
    <mergeCell ref="D7:E9"/>
    <mergeCell ref="F7:G9"/>
    <mergeCell ref="H7:L7"/>
    <mergeCell ref="H8:J9"/>
    <mergeCell ref="K8:L9"/>
    <mergeCell ref="A10:C10"/>
    <mergeCell ref="D10:E10"/>
    <mergeCell ref="F10:G10"/>
    <mergeCell ref="H10:J10"/>
    <mergeCell ref="K10:L10"/>
    <mergeCell ref="A11:C11"/>
    <mergeCell ref="D11:E11"/>
    <mergeCell ref="F11:G11"/>
    <mergeCell ref="H11:J11"/>
    <mergeCell ref="K11:L11"/>
    <mergeCell ref="A12:C12"/>
    <mergeCell ref="D12:E12"/>
    <mergeCell ref="F12:G12"/>
    <mergeCell ref="H12:J12"/>
    <mergeCell ref="K12:L12"/>
    <mergeCell ref="A13:C13"/>
    <mergeCell ref="D13:E13"/>
    <mergeCell ref="F13:G13"/>
    <mergeCell ref="H13:J13"/>
    <mergeCell ref="K13:L13"/>
    <mergeCell ref="A14:C14"/>
    <mergeCell ref="D14:E14"/>
    <mergeCell ref="F14:G14"/>
    <mergeCell ref="H14:J14"/>
    <mergeCell ref="K14:L14"/>
    <mergeCell ref="A15:C15"/>
    <mergeCell ref="D15:E15"/>
    <mergeCell ref="F15:G15"/>
    <mergeCell ref="H15:J15"/>
    <mergeCell ref="K15:L15"/>
    <mergeCell ref="A16:C16"/>
    <mergeCell ref="D16:E16"/>
    <mergeCell ref="F16:G16"/>
    <mergeCell ref="H16:J16"/>
    <mergeCell ref="K16:L16"/>
    <mergeCell ref="A17:C17"/>
    <mergeCell ref="D17:E17"/>
    <mergeCell ref="F17:G17"/>
    <mergeCell ref="H17:J17"/>
    <mergeCell ref="K17:L17"/>
    <mergeCell ref="A18:C18"/>
    <mergeCell ref="D18:E18"/>
    <mergeCell ref="F18:G18"/>
    <mergeCell ref="H18:J18"/>
    <mergeCell ref="K18:L18"/>
    <mergeCell ref="A19:C19"/>
    <mergeCell ref="D19:E19"/>
    <mergeCell ref="F19:G19"/>
    <mergeCell ref="H19:J19"/>
    <mergeCell ref="K19:L19"/>
    <mergeCell ref="A20:C20"/>
    <mergeCell ref="D20:E20"/>
    <mergeCell ref="F20:G20"/>
    <mergeCell ref="H20:J20"/>
    <mergeCell ref="K20:L20"/>
    <mergeCell ref="H24:J24"/>
    <mergeCell ref="K24:L24"/>
    <mergeCell ref="A21:L21"/>
    <mergeCell ref="A22:C22"/>
    <mergeCell ref="D22:E22"/>
    <mergeCell ref="F22:G22"/>
    <mergeCell ref="H22:J22"/>
    <mergeCell ref="K22:L22"/>
    <mergeCell ref="H26:J26"/>
    <mergeCell ref="K26:L26"/>
    <mergeCell ref="A23:C23"/>
    <mergeCell ref="D23:E23"/>
    <mergeCell ref="F23:G23"/>
    <mergeCell ref="H23:J23"/>
    <mergeCell ref="K23:L23"/>
    <mergeCell ref="A24:C24"/>
    <mergeCell ref="D24:E24"/>
    <mergeCell ref="F24:G24"/>
    <mergeCell ref="H28:J28"/>
    <mergeCell ref="K28:L28"/>
    <mergeCell ref="A25:C25"/>
    <mergeCell ref="D25:E25"/>
    <mergeCell ref="F25:G25"/>
    <mergeCell ref="H25:J25"/>
    <mergeCell ref="K25:L25"/>
    <mergeCell ref="A26:C26"/>
    <mergeCell ref="D26:E26"/>
    <mergeCell ref="F26:G26"/>
    <mergeCell ref="H30:J30"/>
    <mergeCell ref="K30:L30"/>
    <mergeCell ref="A27:C27"/>
    <mergeCell ref="D27:E27"/>
    <mergeCell ref="F27:G27"/>
    <mergeCell ref="H27:J27"/>
    <mergeCell ref="K27:L27"/>
    <mergeCell ref="A28:C28"/>
    <mergeCell ref="D28:E28"/>
    <mergeCell ref="F28:G28"/>
    <mergeCell ref="L35:L36"/>
    <mergeCell ref="D35:D36"/>
    <mergeCell ref="A29:C29"/>
    <mergeCell ref="D29:E29"/>
    <mergeCell ref="F29:G29"/>
    <mergeCell ref="H29:J29"/>
    <mergeCell ref="K29:L29"/>
    <mergeCell ref="A30:C30"/>
    <mergeCell ref="D30:E30"/>
    <mergeCell ref="F30:G30"/>
    <mergeCell ref="A41:C41"/>
    <mergeCell ref="A35:C36"/>
    <mergeCell ref="H35:I35"/>
    <mergeCell ref="J35:K35"/>
    <mergeCell ref="A31:C31"/>
    <mergeCell ref="D31:E31"/>
    <mergeCell ref="F31:G31"/>
    <mergeCell ref="H31:J31"/>
    <mergeCell ref="K31:L31"/>
    <mergeCell ref="B34:L34"/>
    <mergeCell ref="E35:E36"/>
    <mergeCell ref="F35:G35"/>
    <mergeCell ref="A42:C42"/>
    <mergeCell ref="A43:C43"/>
    <mergeCell ref="A44:C44"/>
    <mergeCell ref="A45:C45"/>
    <mergeCell ref="A37:C37"/>
    <mergeCell ref="A38:C38"/>
    <mergeCell ref="A39:C39"/>
    <mergeCell ref="A40:C40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64:L64"/>
    <mergeCell ref="A65:F65"/>
    <mergeCell ref="G65:H65"/>
    <mergeCell ref="I65:J65"/>
    <mergeCell ref="K65:L65"/>
    <mergeCell ref="A66:F66"/>
    <mergeCell ref="G66:H66"/>
    <mergeCell ref="I66:J66"/>
    <mergeCell ref="K66:L66"/>
    <mergeCell ref="A67:F67"/>
    <mergeCell ref="G67:H67"/>
    <mergeCell ref="I67:J67"/>
    <mergeCell ref="K67:L67"/>
    <mergeCell ref="A68:F68"/>
    <mergeCell ref="G68:H68"/>
    <mergeCell ref="I68:J68"/>
    <mergeCell ref="K68:L68"/>
    <mergeCell ref="A69:F69"/>
    <mergeCell ref="G69:H69"/>
    <mergeCell ref="I69:J69"/>
    <mergeCell ref="K69:L69"/>
    <mergeCell ref="A70:F70"/>
    <mergeCell ref="G70:H70"/>
    <mergeCell ref="I70:J70"/>
    <mergeCell ref="K70:L70"/>
    <mergeCell ref="A71:F71"/>
    <mergeCell ref="G71:L71"/>
    <mergeCell ref="A72:F72"/>
    <mergeCell ref="G72:L72"/>
    <mergeCell ref="A73:F73"/>
    <mergeCell ref="G73:L73"/>
    <mergeCell ref="A74:F74"/>
    <mergeCell ref="G74:L74"/>
    <mergeCell ref="A75:F75"/>
    <mergeCell ref="G75:L75"/>
    <mergeCell ref="A76:L76"/>
    <mergeCell ref="A77:E79"/>
    <mergeCell ref="F77:L77"/>
    <mergeCell ref="F78:G79"/>
    <mergeCell ref="H78:J78"/>
    <mergeCell ref="K78:L79"/>
    <mergeCell ref="A80:E80"/>
    <mergeCell ref="F80:G80"/>
    <mergeCell ref="K80:L80"/>
    <mergeCell ref="A81:E81"/>
    <mergeCell ref="F81:G81"/>
    <mergeCell ref="K81:L81"/>
    <mergeCell ref="A82:E82"/>
    <mergeCell ref="F82:G82"/>
    <mergeCell ref="K82:L82"/>
    <mergeCell ref="A83:E83"/>
    <mergeCell ref="F83:G83"/>
    <mergeCell ref="K83:L83"/>
    <mergeCell ref="A84:L84"/>
    <mergeCell ref="A85:L85"/>
    <mergeCell ref="A86:B86"/>
    <mergeCell ref="A87:B87"/>
    <mergeCell ref="A88:B88"/>
    <mergeCell ref="A89:B89"/>
    <mergeCell ref="A90:B90"/>
    <mergeCell ref="A91:B91"/>
    <mergeCell ref="A93:K93"/>
    <mergeCell ref="A94:L94"/>
    <mergeCell ref="A95:G97"/>
    <mergeCell ref="H95:L95"/>
    <mergeCell ref="H96:H97"/>
    <mergeCell ref="I96:K96"/>
    <mergeCell ref="L96:L97"/>
    <mergeCell ref="A98:G98"/>
    <mergeCell ref="A99:G99"/>
    <mergeCell ref="A100:G100"/>
    <mergeCell ref="A101:G101"/>
    <mergeCell ref="A103:E104"/>
    <mergeCell ref="F103:G104"/>
    <mergeCell ref="H103:I104"/>
    <mergeCell ref="J103:L103"/>
    <mergeCell ref="J104:K104"/>
    <mergeCell ref="A105:E105"/>
    <mergeCell ref="F105:G105"/>
    <mergeCell ref="H105:I105"/>
    <mergeCell ref="J105:K105"/>
    <mergeCell ref="A106:E106"/>
    <mergeCell ref="F106:G106"/>
    <mergeCell ref="H106:I106"/>
    <mergeCell ref="J106:K106"/>
    <mergeCell ref="A107:E107"/>
    <mergeCell ref="F107:G107"/>
    <mergeCell ref="H107:I107"/>
    <mergeCell ref="J107:K107"/>
    <mergeCell ref="A108:E108"/>
    <mergeCell ref="F108:G108"/>
    <mergeCell ref="H108:I108"/>
    <mergeCell ref="J108:K108"/>
    <mergeCell ref="A109:E109"/>
    <mergeCell ref="F109:G109"/>
    <mergeCell ref="H109:I109"/>
    <mergeCell ref="J109:K109"/>
    <mergeCell ref="A110:E110"/>
    <mergeCell ref="F110:G110"/>
    <mergeCell ref="H110:I110"/>
    <mergeCell ref="J110:K110"/>
    <mergeCell ref="A111:E111"/>
    <mergeCell ref="F111:G111"/>
    <mergeCell ref="H111:I111"/>
    <mergeCell ref="J111:K111"/>
    <mergeCell ref="A116:L116"/>
    <mergeCell ref="A117:C118"/>
    <mergeCell ref="D117:D118"/>
    <mergeCell ref="E117:E118"/>
    <mergeCell ref="F117:G117"/>
    <mergeCell ref="H117:I117"/>
    <mergeCell ref="J117:K117"/>
    <mergeCell ref="L117:L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2:C143"/>
    <mergeCell ref="D142:D143"/>
    <mergeCell ref="E142:E143"/>
    <mergeCell ref="F142:G142"/>
    <mergeCell ref="H142:I142"/>
    <mergeCell ref="J142:K142"/>
    <mergeCell ref="L142:L143"/>
    <mergeCell ref="A144:C144"/>
    <mergeCell ref="A145:C145"/>
    <mergeCell ref="A146:C146"/>
    <mergeCell ref="A147:C147"/>
    <mergeCell ref="A148:C148"/>
    <mergeCell ref="A149:C149"/>
    <mergeCell ref="A150:C150"/>
    <mergeCell ref="B167:C167"/>
    <mergeCell ref="A151:C151"/>
    <mergeCell ref="A152:C152"/>
    <mergeCell ref="A153:C153"/>
    <mergeCell ref="A155:E155"/>
    <mergeCell ref="B165:C165"/>
    <mergeCell ref="B166:C166"/>
  </mergeCells>
  <printOptions horizontalCentered="1"/>
  <pageMargins left="0.1968503937007874" right="0.1968503937007874" top="0.3937007874015748" bottom="0.35433070866141736" header="0.2755905511811024" footer="0.3937007874015748"/>
  <pageSetup fitToHeight="2" horizontalDpi="600" verticalDpi="600" orientation="landscape" paperSize="9" scale="49" r:id="rId2"/>
  <headerFooter scaleWithDoc="0">
    <oddFooter>&amp;L&amp;8Publicação: Diário Oficial do Município nº 19
Data: 28.01.2021
&amp;R&amp;8&amp;P / &amp;N</oddFooter>
  </headerFooter>
  <ignoredErrors>
    <ignoredError sqref="I37 K37 G144 I144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40"/>
  <sheetViews>
    <sheetView showGridLines="0" view="pageBreakPreview" zoomScale="61" zoomScaleSheetLayoutView="61" zoomScalePageLayoutView="0" workbookViewId="0" topLeftCell="A1">
      <selection activeCell="B34" sqref="B34"/>
    </sheetView>
  </sheetViews>
  <sheetFormatPr defaultColWidth="7.8515625" defaultRowHeight="15" customHeight="1"/>
  <cols>
    <col min="1" max="1" width="105.00390625" style="453" customWidth="1"/>
    <col min="2" max="2" width="23.8515625" style="453" customWidth="1"/>
    <col min="3" max="3" width="22.57421875" style="453" customWidth="1"/>
    <col min="4" max="4" width="11.140625" style="451" customWidth="1"/>
    <col min="5" max="5" width="10.57421875" style="451" customWidth="1"/>
    <col min="6" max="6" width="10.140625" style="547" customWidth="1"/>
    <col min="7" max="11" width="12.7109375" style="453" customWidth="1"/>
    <col min="12" max="12" width="12.7109375" style="451" customWidth="1"/>
    <col min="13" max="13" width="7.8515625" style="451" customWidth="1"/>
    <col min="14" max="16384" width="7.8515625" style="453" customWidth="1"/>
  </cols>
  <sheetData>
    <row r="1" spans="1:13" s="417" customFormat="1" ht="15" customHeight="1">
      <c r="A1" s="1821" t="s">
        <v>168</v>
      </c>
      <c r="B1" s="1821"/>
      <c r="C1" s="1821"/>
      <c r="D1" s="1821"/>
      <c r="E1" s="1821"/>
      <c r="F1" s="418"/>
      <c r="L1" s="419"/>
      <c r="M1" s="419"/>
    </row>
    <row r="2" spans="1:13" s="417" customFormat="1" ht="15" customHeight="1">
      <c r="A2" s="1821" t="s">
        <v>0</v>
      </c>
      <c r="B2" s="1821"/>
      <c r="C2" s="1821"/>
      <c r="D2" s="1821"/>
      <c r="E2" s="1821"/>
      <c r="F2" s="418"/>
      <c r="L2" s="419"/>
      <c r="M2" s="419"/>
    </row>
    <row r="3" spans="1:13" s="417" customFormat="1" ht="15" customHeight="1">
      <c r="A3" s="73" t="s">
        <v>311</v>
      </c>
      <c r="B3" s="420"/>
      <c r="C3" s="420"/>
      <c r="E3" s="377"/>
      <c r="F3" s="418"/>
      <c r="G3" s="1748"/>
      <c r="H3" s="1748"/>
      <c r="I3" s="1748"/>
      <c r="J3" s="1748"/>
      <c r="K3" s="1748"/>
      <c r="L3" s="419"/>
      <c r="M3" s="419"/>
    </row>
    <row r="4" spans="1:13" s="417" customFormat="1" ht="15" customHeight="1">
      <c r="A4" s="73" t="s">
        <v>1</v>
      </c>
      <c r="B4" s="390"/>
      <c r="C4" s="390"/>
      <c r="E4" s="377"/>
      <c r="F4" s="418"/>
      <c r="G4" s="543"/>
      <c r="L4" s="419"/>
      <c r="M4" s="419"/>
    </row>
    <row r="5" spans="1:13" s="349" customFormat="1" ht="15.75" customHeight="1">
      <c r="A5" s="73" t="str">
        <f>'Anexo 1 _ BAL ORC'!A5</f>
        <v>            Referência: JANEIRO-DEZEMBRO/2020; BIMESTRE: NOVEMBRO-DEZEMBRO/2020</v>
      </c>
      <c r="B5" s="352"/>
      <c r="C5" s="352"/>
      <c r="D5" s="352"/>
      <c r="E5" s="422"/>
      <c r="F5" s="423"/>
      <c r="L5" s="389"/>
      <c r="M5" s="389"/>
    </row>
    <row r="6" spans="1:5" ht="15" customHeight="1">
      <c r="A6" s="544"/>
      <c r="B6" s="544"/>
      <c r="C6" s="544"/>
      <c r="D6" s="545"/>
      <c r="E6" s="546"/>
    </row>
    <row r="7" spans="1:12" ht="15" customHeight="1">
      <c r="A7" s="548" t="s">
        <v>338</v>
      </c>
      <c r="B7" s="549"/>
      <c r="C7" s="549"/>
      <c r="D7" s="550"/>
      <c r="E7" s="551"/>
      <c r="F7" s="549"/>
      <c r="G7" s="552"/>
      <c r="H7" s="552"/>
      <c r="I7" s="552"/>
      <c r="J7" s="552"/>
      <c r="K7" s="552"/>
      <c r="L7" s="552"/>
    </row>
    <row r="8" spans="1:12" ht="39.75" customHeight="1">
      <c r="A8" s="2390" t="s">
        <v>493</v>
      </c>
      <c r="B8" s="2391"/>
      <c r="C8" s="2398" t="s">
        <v>494</v>
      </c>
      <c r="D8" s="2399"/>
      <c r="E8" s="2399"/>
      <c r="F8" s="2400"/>
      <c r="G8" s="2395" t="s">
        <v>919</v>
      </c>
      <c r="H8" s="2396"/>
      <c r="I8" s="2396"/>
      <c r="J8" s="2396"/>
      <c r="K8" s="2396"/>
      <c r="L8" s="2397"/>
    </row>
    <row r="9" spans="1:12" ht="33" customHeight="1">
      <c r="A9" s="2392"/>
      <c r="B9" s="2393"/>
      <c r="C9" s="2401"/>
      <c r="D9" s="2402"/>
      <c r="E9" s="2402"/>
      <c r="F9" s="2403"/>
      <c r="G9" s="2394" t="s">
        <v>64</v>
      </c>
      <c r="H9" s="2394"/>
      <c r="I9" s="2394"/>
      <c r="J9" s="2394" t="s">
        <v>384</v>
      </c>
      <c r="K9" s="2394"/>
      <c r="L9" s="2394"/>
    </row>
    <row r="10" spans="1:12" ht="15" customHeight="1">
      <c r="A10" s="2386" t="s">
        <v>312</v>
      </c>
      <c r="B10" s="2387"/>
      <c r="C10" s="2383">
        <f>C11</f>
        <v>0</v>
      </c>
      <c r="D10" s="2384"/>
      <c r="E10" s="2384"/>
      <c r="F10" s="2385"/>
      <c r="G10" s="2369">
        <v>0</v>
      </c>
      <c r="H10" s="2370"/>
      <c r="I10" s="2370"/>
      <c r="J10" s="2369">
        <v>0</v>
      </c>
      <c r="K10" s="2370"/>
      <c r="L10" s="2371"/>
    </row>
    <row r="11" spans="1:12" ht="15" customHeight="1">
      <c r="A11" s="2377" t="s">
        <v>648</v>
      </c>
      <c r="B11" s="2382"/>
      <c r="C11" s="2354"/>
      <c r="D11" s="2355"/>
      <c r="E11" s="2355"/>
      <c r="F11" s="2356"/>
      <c r="G11" s="2388"/>
      <c r="H11" s="2389"/>
      <c r="I11" s="2389"/>
      <c r="J11" s="2359"/>
      <c r="K11" s="2360"/>
      <c r="L11" s="2361"/>
    </row>
    <row r="12" spans="1:12" ht="15" customHeight="1">
      <c r="A12" s="2386" t="s">
        <v>495</v>
      </c>
      <c r="B12" s="2387"/>
      <c r="C12" s="2383">
        <f>C13+C14+C15</f>
        <v>0</v>
      </c>
      <c r="D12" s="2384"/>
      <c r="E12" s="2384"/>
      <c r="F12" s="2385"/>
      <c r="G12" s="2369">
        <f>G13+G14+G15</f>
        <v>0</v>
      </c>
      <c r="H12" s="2370"/>
      <c r="I12" s="2371"/>
      <c r="J12" s="2359">
        <f>J13+J14+J15</f>
        <v>0</v>
      </c>
      <c r="K12" s="2360"/>
      <c r="L12" s="2361"/>
    </row>
    <row r="13" spans="1:12" ht="15" customHeight="1">
      <c r="A13" s="2377" t="s">
        <v>496</v>
      </c>
      <c r="B13" s="2382"/>
      <c r="C13" s="2354"/>
      <c r="D13" s="2355"/>
      <c r="E13" s="2355"/>
      <c r="F13" s="2356"/>
      <c r="G13" s="2359"/>
      <c r="H13" s="2360"/>
      <c r="I13" s="2361"/>
      <c r="J13" s="2359"/>
      <c r="K13" s="2360"/>
      <c r="L13" s="2361"/>
    </row>
    <row r="14" spans="1:12" ht="15" customHeight="1">
      <c r="A14" s="2377" t="s">
        <v>313</v>
      </c>
      <c r="B14" s="2378"/>
      <c r="C14" s="2355"/>
      <c r="D14" s="2355"/>
      <c r="E14" s="2355"/>
      <c r="F14" s="2356"/>
      <c r="G14" s="2359"/>
      <c r="H14" s="2360"/>
      <c r="I14" s="2361"/>
      <c r="J14" s="2359"/>
      <c r="K14" s="2360"/>
      <c r="L14" s="2361"/>
    </row>
    <row r="15" spans="1:12" ht="15" customHeight="1">
      <c r="A15" s="2372" t="s">
        <v>497</v>
      </c>
      <c r="B15" s="2373"/>
      <c r="C15" s="2379"/>
      <c r="D15" s="2380"/>
      <c r="E15" s="2380"/>
      <c r="F15" s="2381"/>
      <c r="G15" s="2374"/>
      <c r="H15" s="2375"/>
      <c r="I15" s="2376"/>
      <c r="J15" s="2359"/>
      <c r="K15" s="2360"/>
      <c r="L15" s="2361"/>
    </row>
    <row r="16" spans="1:12" ht="19.5" customHeight="1">
      <c r="A16" s="959" t="s">
        <v>498</v>
      </c>
      <c r="B16" s="452"/>
      <c r="C16" s="2383">
        <f>C17+C18+C19+C20</f>
        <v>0</v>
      </c>
      <c r="D16" s="2384"/>
      <c r="E16" s="2384"/>
      <c r="F16" s="2385"/>
      <c r="G16" s="2369">
        <f>G17+G18+G19+G20</f>
        <v>0</v>
      </c>
      <c r="H16" s="2370"/>
      <c r="I16" s="2371"/>
      <c r="J16" s="2369">
        <f>J17+J18+J19+J20</f>
        <v>0</v>
      </c>
      <c r="K16" s="2370"/>
      <c r="L16" s="2371"/>
    </row>
    <row r="17" spans="1:12" ht="15" customHeight="1">
      <c r="A17" s="959" t="s">
        <v>649</v>
      </c>
      <c r="B17" s="452"/>
      <c r="C17" s="2354"/>
      <c r="D17" s="2355"/>
      <c r="E17" s="2355"/>
      <c r="F17" s="2356"/>
      <c r="G17" s="2359"/>
      <c r="H17" s="2360"/>
      <c r="I17" s="2361"/>
      <c r="J17" s="2359"/>
      <c r="K17" s="2360"/>
      <c r="L17" s="2361"/>
    </row>
    <row r="18" spans="1:12" ht="15" customHeight="1">
      <c r="A18" s="959" t="s">
        <v>650</v>
      </c>
      <c r="B18" s="452"/>
      <c r="C18" s="917"/>
      <c r="D18" s="918"/>
      <c r="E18" s="918"/>
      <c r="F18" s="919"/>
      <c r="G18" s="2359"/>
      <c r="H18" s="2360"/>
      <c r="I18" s="2361"/>
      <c r="J18" s="2359"/>
      <c r="K18" s="2360"/>
      <c r="L18" s="2361"/>
    </row>
    <row r="19" spans="1:12" ht="15" customHeight="1">
      <c r="A19" s="959" t="s">
        <v>652</v>
      </c>
      <c r="B19" s="452"/>
      <c r="C19" s="2354"/>
      <c r="D19" s="2355"/>
      <c r="E19" s="2355"/>
      <c r="F19" s="2356"/>
      <c r="G19" s="2359"/>
      <c r="H19" s="2360"/>
      <c r="I19" s="2361"/>
      <c r="J19" s="2359"/>
      <c r="K19" s="2360"/>
      <c r="L19" s="2361"/>
    </row>
    <row r="20" spans="1:12" ht="15" customHeight="1">
      <c r="A20" s="2362" t="s">
        <v>651</v>
      </c>
      <c r="B20" s="2363"/>
      <c r="C20" s="2404"/>
      <c r="D20" s="2405"/>
      <c r="E20" s="2405"/>
      <c r="F20" s="2406"/>
      <c r="G20" s="2359"/>
      <c r="H20" s="2360"/>
      <c r="I20" s="2361"/>
      <c r="J20" s="2359"/>
      <c r="K20" s="2360"/>
      <c r="L20" s="2361"/>
    </row>
    <row r="21" spans="1:12" ht="15" customHeight="1">
      <c r="A21" s="2364" t="s">
        <v>314</v>
      </c>
      <c r="B21" s="2365" t="s">
        <v>279</v>
      </c>
      <c r="C21" s="2367" t="s">
        <v>499</v>
      </c>
      <c r="D21" s="2357" t="s">
        <v>315</v>
      </c>
      <c r="E21" s="2357" t="s">
        <v>316</v>
      </c>
      <c r="F21" s="2357" t="s">
        <v>317</v>
      </c>
      <c r="G21" s="2357" t="s">
        <v>318</v>
      </c>
      <c r="H21" s="2357" t="s">
        <v>319</v>
      </c>
      <c r="I21" s="2357" t="s">
        <v>320</v>
      </c>
      <c r="J21" s="2357" t="s">
        <v>321</v>
      </c>
      <c r="K21" s="2357" t="s">
        <v>322</v>
      </c>
      <c r="L21" s="2357" t="s">
        <v>323</v>
      </c>
    </row>
    <row r="22" spans="1:12" ht="24" customHeight="1">
      <c r="A22" s="2364"/>
      <c r="B22" s="2366"/>
      <c r="C22" s="2368"/>
      <c r="D22" s="2358"/>
      <c r="E22" s="2358"/>
      <c r="F22" s="2358"/>
      <c r="G22" s="2358"/>
      <c r="H22" s="2358"/>
      <c r="I22" s="2358"/>
      <c r="J22" s="2358"/>
      <c r="K22" s="2358"/>
      <c r="L22" s="2358"/>
    </row>
    <row r="23" spans="1:12" ht="24.75" customHeight="1">
      <c r="A23" s="1383" t="s">
        <v>892</v>
      </c>
      <c r="B23" s="556"/>
      <c r="C23" s="556"/>
      <c r="D23" s="556"/>
      <c r="E23" s="557"/>
      <c r="F23" s="549"/>
      <c r="G23" s="558"/>
      <c r="H23" s="552"/>
      <c r="I23" s="559"/>
      <c r="J23" s="558"/>
      <c r="K23" s="559"/>
      <c r="L23" s="558"/>
    </row>
    <row r="24" spans="1:12" ht="24.75" customHeight="1">
      <c r="A24" s="1134" t="s">
        <v>894</v>
      </c>
      <c r="B24" s="560"/>
      <c r="C24" s="560"/>
      <c r="D24" s="560"/>
      <c r="E24" s="561"/>
      <c r="F24" s="553"/>
      <c r="G24" s="562"/>
      <c r="H24" s="555"/>
      <c r="I24" s="554"/>
      <c r="J24" s="562"/>
      <c r="K24" s="554"/>
      <c r="L24" s="562"/>
    </row>
    <row r="25" spans="1:12" ht="24.75" customHeight="1">
      <c r="A25" s="1135"/>
      <c r="B25" s="560"/>
      <c r="C25" s="560"/>
      <c r="D25" s="560"/>
      <c r="E25" s="561"/>
      <c r="F25" s="553"/>
      <c r="G25" s="562"/>
      <c r="H25" s="563"/>
      <c r="I25" s="554"/>
      <c r="J25" s="562"/>
      <c r="K25" s="554"/>
      <c r="L25" s="562"/>
    </row>
    <row r="26" spans="1:12" ht="24.75" customHeight="1">
      <c r="A26" s="1329" t="s">
        <v>895</v>
      </c>
      <c r="B26" s="564"/>
      <c r="C26" s="564"/>
      <c r="D26" s="565"/>
      <c r="E26" s="566"/>
      <c r="F26" s="553"/>
      <c r="G26" s="562"/>
      <c r="H26" s="555"/>
      <c r="I26" s="554"/>
      <c r="J26" s="562"/>
      <c r="K26" s="554"/>
      <c r="L26" s="562"/>
    </row>
    <row r="27" spans="1:12" ht="24.75" customHeight="1">
      <c r="A27" s="1136" t="s">
        <v>893</v>
      </c>
      <c r="B27" s="567"/>
      <c r="C27" s="564"/>
      <c r="D27" s="568"/>
      <c r="E27" s="569"/>
      <c r="F27" s="553"/>
      <c r="G27" s="562"/>
      <c r="H27" s="555"/>
      <c r="I27" s="554"/>
      <c r="J27" s="562"/>
      <c r="K27" s="554"/>
      <c r="L27" s="562"/>
    </row>
    <row r="28" spans="1:12" ht="24.75" customHeight="1">
      <c r="A28" s="1134" t="s">
        <v>896</v>
      </c>
      <c r="B28" s="898"/>
      <c r="C28" s="899"/>
      <c r="D28" s="898"/>
      <c r="E28" s="898"/>
      <c r="F28" s="553"/>
      <c r="G28" s="562"/>
      <c r="H28" s="555"/>
      <c r="I28" s="554"/>
      <c r="J28" s="562"/>
      <c r="K28" s="554"/>
      <c r="L28" s="562"/>
    </row>
    <row r="29" spans="1:12" ht="24.75" customHeight="1">
      <c r="A29" s="1330"/>
      <c r="B29" s="898"/>
      <c r="C29" s="899"/>
      <c r="D29" s="898"/>
      <c r="E29" s="898"/>
      <c r="F29" s="553"/>
      <c r="G29" s="562"/>
      <c r="H29" s="555"/>
      <c r="I29" s="554"/>
      <c r="J29" s="562"/>
      <c r="K29" s="554"/>
      <c r="L29" s="562"/>
    </row>
    <row r="30" spans="1:12" ht="24.75" customHeight="1">
      <c r="A30" s="1329" t="s">
        <v>897</v>
      </c>
      <c r="B30" s="898"/>
      <c r="C30" s="899"/>
      <c r="D30" s="898"/>
      <c r="E30" s="898"/>
      <c r="F30" s="553"/>
      <c r="G30" s="562"/>
      <c r="H30" s="555"/>
      <c r="I30" s="554"/>
      <c r="J30" s="562"/>
      <c r="K30" s="554"/>
      <c r="L30" s="562"/>
    </row>
    <row r="31" spans="1:12" ht="24.75" customHeight="1">
      <c r="A31" s="1136"/>
      <c r="B31" s="898"/>
      <c r="C31" s="899"/>
      <c r="D31" s="898"/>
      <c r="E31" s="898"/>
      <c r="F31" s="553"/>
      <c r="G31" s="562"/>
      <c r="H31" s="555"/>
      <c r="I31" s="554"/>
      <c r="J31" s="562"/>
      <c r="K31" s="554"/>
      <c r="L31" s="562"/>
    </row>
    <row r="32" spans="1:12" ht="24.75" customHeight="1">
      <c r="A32" s="1136" t="s">
        <v>898</v>
      </c>
      <c r="B32" s="898"/>
      <c r="C32" s="899"/>
      <c r="D32" s="898"/>
      <c r="E32" s="898"/>
      <c r="F32" s="553"/>
      <c r="G32" s="562"/>
      <c r="H32" s="555"/>
      <c r="I32" s="554"/>
      <c r="J32" s="562"/>
      <c r="K32" s="554"/>
      <c r="L32" s="562"/>
    </row>
    <row r="33" spans="1:12" ht="24.75" customHeight="1">
      <c r="A33" s="1136" t="s">
        <v>899</v>
      </c>
      <c r="B33" s="898">
        <v>2991884457.21</v>
      </c>
      <c r="C33" s="899">
        <f>'Anexo 3 _ RCL'!P40</f>
        <v>3275359737.3399997</v>
      </c>
      <c r="D33" s="898"/>
      <c r="E33" s="898"/>
      <c r="F33" s="553"/>
      <c r="G33" s="562"/>
      <c r="H33" s="555"/>
      <c r="I33" s="554"/>
      <c r="J33" s="562"/>
      <c r="K33" s="554"/>
      <c r="L33" s="562"/>
    </row>
    <row r="34" spans="1:12" ht="24" customHeight="1">
      <c r="A34" s="897" t="s">
        <v>900</v>
      </c>
      <c r="B34" s="898"/>
      <c r="C34" s="899"/>
      <c r="D34" s="898"/>
      <c r="E34" s="898"/>
      <c r="F34" s="893"/>
      <c r="G34" s="562"/>
      <c r="H34" s="562"/>
      <c r="I34" s="562"/>
      <c r="J34" s="562"/>
      <c r="K34" s="562"/>
      <c r="L34" s="562"/>
    </row>
    <row r="35" spans="1:13" s="1334" customFormat="1" ht="24.75" customHeight="1">
      <c r="A35" s="1331" t="s">
        <v>901</v>
      </c>
      <c r="B35" s="1332">
        <f>B23/B33</f>
        <v>0</v>
      </c>
      <c r="C35" s="1332">
        <f>C23/C33</f>
        <v>0</v>
      </c>
      <c r="D35" s="1332"/>
      <c r="E35" s="1332"/>
      <c r="F35" s="1332"/>
      <c r="G35" s="1332"/>
      <c r="H35" s="1332"/>
      <c r="I35" s="1332"/>
      <c r="J35" s="1332"/>
      <c r="K35" s="1332"/>
      <c r="L35" s="1332"/>
      <c r="M35" s="1333"/>
    </row>
    <row r="36" spans="1:13" s="417" customFormat="1" ht="15" customHeight="1">
      <c r="A36" s="377" t="str">
        <f>'[16]Anexo VI _ RES NOM'!A44</f>
        <v>FONTE: SECRETARIA MUNICIPAL DA FAZENDA</v>
      </c>
      <c r="B36" s="570"/>
      <c r="C36" s="570"/>
      <c r="D36" s="375"/>
      <c r="E36" s="375"/>
      <c r="F36" s="418"/>
      <c r="L36" s="419"/>
      <c r="M36" s="419"/>
    </row>
    <row r="37" spans="1:13" s="417" customFormat="1" ht="15" customHeight="1">
      <c r="A37" s="377" t="str">
        <f>'Anexo 8 _ ENSINO'!A165</f>
        <v>  São Luís,  de Janeiro de 2021.</v>
      </c>
      <c r="B37" s="570"/>
      <c r="C37" s="570"/>
      <c r="D37" s="375"/>
      <c r="E37" s="375"/>
      <c r="F37" s="418"/>
      <c r="K37" s="571"/>
      <c r="L37" s="419"/>
      <c r="M37" s="419"/>
    </row>
    <row r="38" spans="1:13" s="417" customFormat="1" ht="15" customHeight="1">
      <c r="A38" s="377"/>
      <c r="B38" s="570"/>
      <c r="C38" s="570"/>
      <c r="D38" s="375"/>
      <c r="E38" s="375"/>
      <c r="F38" s="418"/>
      <c r="K38" s="571"/>
      <c r="L38" s="419"/>
      <c r="M38" s="419"/>
    </row>
    <row r="39" spans="1:13" s="417" customFormat="1" ht="15" customHeight="1">
      <c r="A39" s="572"/>
      <c r="B39" s="573"/>
      <c r="C39" s="574"/>
      <c r="D39" s="574"/>
      <c r="E39" s="575"/>
      <c r="F39" s="418"/>
      <c r="L39" s="419"/>
      <c r="M39" s="419"/>
    </row>
    <row r="40" spans="1:13" s="418" customFormat="1" ht="12.75" customHeight="1">
      <c r="A40" s="246"/>
      <c r="B40" s="247"/>
      <c r="C40" s="247"/>
      <c r="D40" s="247"/>
      <c r="E40" s="246"/>
      <c r="L40" s="243"/>
      <c r="M40" s="243"/>
    </row>
  </sheetData>
  <sheetProtection/>
  <mergeCells count="59">
    <mergeCell ref="J18:L18"/>
    <mergeCell ref="J10:L10"/>
    <mergeCell ref="C16:F16"/>
    <mergeCell ref="G8:L8"/>
    <mergeCell ref="C8:F9"/>
    <mergeCell ref="C20:F20"/>
    <mergeCell ref="C17:F17"/>
    <mergeCell ref="J9:L9"/>
    <mergeCell ref="C12:F12"/>
    <mergeCell ref="C13:F13"/>
    <mergeCell ref="A12:B12"/>
    <mergeCell ref="G12:I12"/>
    <mergeCell ref="J12:L12"/>
    <mergeCell ref="A1:E1"/>
    <mergeCell ref="A2:E2"/>
    <mergeCell ref="G3:K3"/>
    <mergeCell ref="A8:B9"/>
    <mergeCell ref="G9:I9"/>
    <mergeCell ref="G13:I13"/>
    <mergeCell ref="J13:L13"/>
    <mergeCell ref="A13:B13"/>
    <mergeCell ref="C10:F10"/>
    <mergeCell ref="C11:F11"/>
    <mergeCell ref="A10:B10"/>
    <mergeCell ref="G10:I10"/>
    <mergeCell ref="A11:B11"/>
    <mergeCell ref="G11:I11"/>
    <mergeCell ref="J11:L11"/>
    <mergeCell ref="G14:I14"/>
    <mergeCell ref="J14:L14"/>
    <mergeCell ref="A15:B15"/>
    <mergeCell ref="G15:I15"/>
    <mergeCell ref="J15:L15"/>
    <mergeCell ref="A14:B14"/>
    <mergeCell ref="C14:F14"/>
    <mergeCell ref="C15:F15"/>
    <mergeCell ref="G16:I16"/>
    <mergeCell ref="J16:L16"/>
    <mergeCell ref="G17:I17"/>
    <mergeCell ref="J17:L17"/>
    <mergeCell ref="J19:L19"/>
    <mergeCell ref="H21:H22"/>
    <mergeCell ref="J21:J22"/>
    <mergeCell ref="I21:I22"/>
    <mergeCell ref="G19:I19"/>
    <mergeCell ref="G18:I18"/>
    <mergeCell ref="A20:B20"/>
    <mergeCell ref="A21:A22"/>
    <mergeCell ref="B21:B22"/>
    <mergeCell ref="C21:C22"/>
    <mergeCell ref="D21:D22"/>
    <mergeCell ref="E21:E22"/>
    <mergeCell ref="C19:F19"/>
    <mergeCell ref="K21:K22"/>
    <mergeCell ref="L21:L22"/>
    <mergeCell ref="G20:I20"/>
    <mergeCell ref="J20:L20"/>
    <mergeCell ref="F21:F22"/>
    <mergeCell ref="G21:G22"/>
  </mergeCells>
  <printOptions horizontalCentered="1"/>
  <pageMargins left="0.15748031496062992" right="0.15748031496062992" top="0.7874015748031497" bottom="0.3937007874015748" header="0.5118110236220472" footer="0.1968503937007874"/>
  <pageSetup horizontalDpi="600" verticalDpi="600" orientation="landscape" paperSize="9" scale="56" r:id="rId2"/>
  <headerFooter scaleWithDoc="0">
    <oddFooter>&amp;L&amp;8Publicação: Diário Oficial do Município nº 19
Data: 28.01.2021&amp;R&amp;8&amp;P / &amp;N</oddFooter>
  </headerFooter>
  <ignoredErrors>
    <ignoredError sqref="J12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4"/>
  <sheetViews>
    <sheetView showGridLines="0" tabSelected="1" view="pageBreakPreview" zoomScaleNormal="87" zoomScaleSheetLayoutView="100" zoomScalePageLayoutView="0" workbookViewId="0" topLeftCell="A64">
      <selection activeCell="F72" sqref="F72"/>
    </sheetView>
  </sheetViews>
  <sheetFormatPr defaultColWidth="0.9921875" defaultRowHeight="15" customHeight="1"/>
  <cols>
    <col min="1" max="1" width="73.57421875" style="353" customWidth="1"/>
    <col min="2" max="2" width="17.7109375" style="250" customWidth="1"/>
    <col min="3" max="3" width="20.7109375" style="578" customWidth="1"/>
    <col min="4" max="4" width="17.8515625" style="250" customWidth="1"/>
    <col min="5" max="5" width="17.00390625" style="250" customWidth="1"/>
    <col min="6" max="6" width="26.57421875" style="250" customWidth="1"/>
    <col min="7" max="62" width="15.7109375" style="250" customWidth="1"/>
    <col min="63" max="16384" width="0.9921875" style="250" customWidth="1"/>
  </cols>
  <sheetData>
    <row r="1" spans="1:6" ht="15" customHeight="1">
      <c r="A1" s="2461" t="s">
        <v>242</v>
      </c>
      <c r="B1" s="2461"/>
      <c r="C1" s="2461"/>
      <c r="D1" s="2461"/>
      <c r="E1" s="2461"/>
      <c r="F1" s="576"/>
    </row>
    <row r="2" spans="1:6" ht="15" customHeight="1">
      <c r="A2" s="2462" t="s">
        <v>243</v>
      </c>
      <c r="B2" s="2462"/>
      <c r="C2" s="2462"/>
      <c r="D2" s="2462"/>
      <c r="E2" s="2462"/>
      <c r="F2" s="577"/>
    </row>
    <row r="3" spans="1:6" ht="15" customHeight="1">
      <c r="A3" s="2461" t="s">
        <v>1</v>
      </c>
      <c r="B3" s="2461"/>
      <c r="C3" s="2461"/>
      <c r="D3" s="2461"/>
      <c r="E3" s="2461"/>
      <c r="F3" s="576"/>
    </row>
    <row r="4" spans="1:11" s="349" customFormat="1" ht="15.75" customHeight="1">
      <c r="A4" s="2128" t="str">
        <f>'Anexo 1 _ BAL ORC'!A5:F5</f>
        <v>            Referência: JANEIRO-DEZEMBRO/2020; BIMESTRE: NOVEMBRO-DEZEMBRO/2020</v>
      </c>
      <c r="B4" s="2128"/>
      <c r="C4" s="2128"/>
      <c r="D4" s="868"/>
      <c r="E4" s="868"/>
      <c r="F4" s="387"/>
      <c r="G4" s="387"/>
      <c r="H4" s="387"/>
      <c r="I4" s="387"/>
      <c r="J4" s="388"/>
      <c r="K4" s="389"/>
    </row>
    <row r="5" spans="1:11" s="349" customFormat="1" ht="14.25">
      <c r="A5" s="348"/>
      <c r="B5" s="348"/>
      <c r="C5" s="2465"/>
      <c r="D5" s="2465"/>
      <c r="E5" s="2465"/>
      <c r="F5" s="387"/>
      <c r="G5" s="387"/>
      <c r="H5" s="387"/>
      <c r="I5" s="387"/>
      <c r="J5" s="388"/>
      <c r="K5" s="389"/>
    </row>
    <row r="6" spans="1:5" ht="15" customHeight="1">
      <c r="A6" s="976" t="s">
        <v>337</v>
      </c>
      <c r="B6" s="977"/>
      <c r="C6" s="978"/>
      <c r="D6" s="976"/>
      <c r="E6" s="979"/>
    </row>
    <row r="7" spans="1:5" ht="21" customHeight="1">
      <c r="A7" s="980" t="s">
        <v>244</v>
      </c>
      <c r="B7" s="2417" t="s">
        <v>65</v>
      </c>
      <c r="C7" s="2463"/>
      <c r="D7" s="2463"/>
      <c r="E7" s="2464"/>
    </row>
    <row r="8" spans="1:5" ht="21" customHeight="1">
      <c r="A8" s="981" t="s">
        <v>2</v>
      </c>
      <c r="B8" s="579"/>
      <c r="C8" s="580"/>
      <c r="D8" s="580"/>
      <c r="E8" s="963"/>
    </row>
    <row r="9" spans="1:5" ht="18" customHeight="1">
      <c r="A9" s="982" t="s">
        <v>354</v>
      </c>
      <c r="B9" s="2435">
        <f>'Anexo 1 _ BAL ORC'!B60</f>
        <v>3497698924.0199995</v>
      </c>
      <c r="C9" s="2436"/>
      <c r="D9" s="2436"/>
      <c r="E9" s="2437"/>
    </row>
    <row r="10" spans="1:6" ht="18" customHeight="1">
      <c r="A10" s="982" t="s">
        <v>355</v>
      </c>
      <c r="B10" s="2435">
        <f>'Anexo 1 _ BAL ORC'!C60</f>
        <v>3863433174.4900002</v>
      </c>
      <c r="C10" s="2436"/>
      <c r="D10" s="2436"/>
      <c r="E10" s="2437"/>
      <c r="F10" s="889"/>
    </row>
    <row r="11" spans="1:5" ht="18" customHeight="1">
      <c r="A11" s="982" t="s">
        <v>347</v>
      </c>
      <c r="B11" s="2435">
        <f>'Anexo 1 _ BAL ORC'!G60</f>
        <v>3653841623.6299996</v>
      </c>
      <c r="C11" s="2436"/>
      <c r="D11" s="2436"/>
      <c r="E11" s="2437"/>
    </row>
    <row r="12" spans="1:5" ht="18" customHeight="1">
      <c r="A12" s="982" t="s">
        <v>348</v>
      </c>
      <c r="B12" s="2435">
        <f>'Anexo 1 _ BAL ORC'!G59</f>
        <v>0</v>
      </c>
      <c r="C12" s="2436"/>
      <c r="D12" s="2436"/>
      <c r="E12" s="2437"/>
    </row>
    <row r="13" spans="1:5" ht="18" customHeight="1">
      <c r="A13" s="983" t="s">
        <v>356</v>
      </c>
      <c r="B13" s="2435">
        <f>'Anexo 1 _ BAL ORC'!C61</f>
        <v>89129573.28999996</v>
      </c>
      <c r="C13" s="2436"/>
      <c r="D13" s="2436"/>
      <c r="E13" s="2437"/>
    </row>
    <row r="14" spans="1:5" ht="21" customHeight="1">
      <c r="A14" s="981" t="s">
        <v>34</v>
      </c>
      <c r="B14" s="2438"/>
      <c r="C14" s="2439"/>
      <c r="D14" s="2439"/>
      <c r="E14" s="2440"/>
    </row>
    <row r="15" spans="1:5" ht="18" customHeight="1">
      <c r="A15" s="982" t="s">
        <v>349</v>
      </c>
      <c r="B15" s="2435">
        <f>'Anexo 1 _ BAL ORC'!B88</f>
        <v>3497698924.0200005</v>
      </c>
      <c r="C15" s="2436"/>
      <c r="D15" s="2436"/>
      <c r="E15" s="2437"/>
    </row>
    <row r="16" spans="1:5" ht="18" customHeight="1">
      <c r="A16" s="982" t="s">
        <v>350</v>
      </c>
      <c r="B16" s="2435">
        <f>'Anexo 1 _ BAL ORC'!C88</f>
        <v>3959362734.28</v>
      </c>
      <c r="C16" s="2436"/>
      <c r="D16" s="2436"/>
      <c r="E16" s="2437"/>
    </row>
    <row r="17" spans="1:5" ht="18" customHeight="1">
      <c r="A17" s="982" t="s">
        <v>351</v>
      </c>
      <c r="B17" s="2435">
        <f>'Anexo 1 _ BAL ORC'!E88</f>
        <v>3523268770.1299996</v>
      </c>
      <c r="C17" s="2436"/>
      <c r="D17" s="2436"/>
      <c r="E17" s="2437"/>
    </row>
    <row r="18" spans="1:5" ht="18" customHeight="1">
      <c r="A18" s="982" t="s">
        <v>352</v>
      </c>
      <c r="B18" s="2435">
        <f>'Anexo 1 _ BAL ORC'!H86</f>
        <v>3270717032.7899995</v>
      </c>
      <c r="C18" s="2436"/>
      <c r="D18" s="2436"/>
      <c r="E18" s="2437"/>
    </row>
    <row r="19" spans="1:5" ht="18" customHeight="1">
      <c r="A19" s="982" t="s">
        <v>423</v>
      </c>
      <c r="B19" s="2435">
        <f>'Anexo 1 _ BAL ORC'!J78</f>
        <v>3165028373.4</v>
      </c>
      <c r="C19" s="2436"/>
      <c r="D19" s="2436"/>
      <c r="E19" s="2437"/>
    </row>
    <row r="20" spans="1:5" ht="18" customHeight="1">
      <c r="A20" s="983" t="s">
        <v>353</v>
      </c>
      <c r="B20" s="2479">
        <f>'Anexo 1 _ BAL ORC'!H87</f>
        <v>130572853.50000021</v>
      </c>
      <c r="C20" s="2480"/>
      <c r="D20" s="2480"/>
      <c r="E20" s="2481"/>
    </row>
    <row r="21" spans="1:5" ht="15" customHeight="1">
      <c r="A21" s="982"/>
      <c r="B21" s="572"/>
      <c r="C21" s="581"/>
      <c r="D21" s="581"/>
      <c r="E21" s="964"/>
    </row>
    <row r="22" spans="1:5" ht="19.5" customHeight="1">
      <c r="A22" s="984" t="s">
        <v>247</v>
      </c>
      <c r="B22" s="2413" t="s">
        <v>65</v>
      </c>
      <c r="C22" s="2469"/>
      <c r="D22" s="2469"/>
      <c r="E22" s="2470"/>
    </row>
    <row r="23" spans="1:5" ht="18" customHeight="1">
      <c r="A23" s="985" t="s">
        <v>245</v>
      </c>
      <c r="B23" s="2474">
        <f>'Anexo 1 _ BAL ORC'!E78</f>
        <v>3523268770.1299996</v>
      </c>
      <c r="C23" s="2475"/>
      <c r="D23" s="2475"/>
      <c r="E23" s="2476"/>
    </row>
    <row r="24" spans="1:5" ht="18" customHeight="1">
      <c r="A24" s="986" t="s">
        <v>246</v>
      </c>
      <c r="B24" s="2482">
        <f>'Anexo 1 _ BAL ORC'!H86</f>
        <v>3270717032.7899995</v>
      </c>
      <c r="C24" s="2483"/>
      <c r="D24" s="2483"/>
      <c r="E24" s="2484"/>
    </row>
    <row r="25" spans="1:5" ht="15" customHeight="1">
      <c r="A25" s="982"/>
      <c r="B25" s="572"/>
      <c r="C25" s="68"/>
      <c r="D25" s="581"/>
      <c r="E25" s="965"/>
    </row>
    <row r="26" spans="1:5" ht="21" customHeight="1">
      <c r="A26" s="987" t="s">
        <v>248</v>
      </c>
      <c r="B26" s="2477"/>
      <c r="C26" s="2477"/>
      <c r="D26" s="2413" t="s">
        <v>345</v>
      </c>
      <c r="E26" s="2414"/>
    </row>
    <row r="27" spans="1:5" ht="21" customHeight="1">
      <c r="A27" s="2453" t="s">
        <v>249</v>
      </c>
      <c r="B27" s="2454"/>
      <c r="C27" s="2455"/>
      <c r="D27" s="2456">
        <f>'Anexo 3 _ RCL'!P36</f>
        <v>3275359737.3399997</v>
      </c>
      <c r="E27" s="2457"/>
    </row>
    <row r="28" spans="1:5" ht="21" customHeight="1">
      <c r="A28" s="2453" t="s">
        <v>917</v>
      </c>
      <c r="B28" s="2454"/>
      <c r="C28" s="2455"/>
      <c r="D28" s="2456">
        <f>'Anexo 3 _ RCL'!P38</f>
        <v>3275359737.3399997</v>
      </c>
      <c r="E28" s="2457"/>
    </row>
    <row r="29" spans="1:5" ht="21" customHeight="1">
      <c r="A29" s="2453" t="s">
        <v>918</v>
      </c>
      <c r="B29" s="2454"/>
      <c r="C29" s="2455"/>
      <c r="D29" s="2456">
        <f>'Anexo 3 _ RCL'!P40</f>
        <v>3275359737.3399997</v>
      </c>
      <c r="E29" s="2457"/>
    </row>
    <row r="30" spans="1:5" ht="15" customHeight="1">
      <c r="A30" s="982"/>
      <c r="B30" s="572"/>
      <c r="C30" s="581"/>
      <c r="D30" s="581"/>
      <c r="E30" s="964"/>
    </row>
    <row r="31" spans="1:5" ht="21" customHeight="1">
      <c r="A31" s="984" t="s">
        <v>587</v>
      </c>
      <c r="B31" s="2413" t="s">
        <v>65</v>
      </c>
      <c r="C31" s="2469"/>
      <c r="D31" s="2469"/>
      <c r="E31" s="2470"/>
    </row>
    <row r="32" spans="1:5" s="542" customFormat="1" ht="21" customHeight="1">
      <c r="A32" s="988" t="s">
        <v>588</v>
      </c>
      <c r="B32" s="2471"/>
      <c r="C32" s="2472"/>
      <c r="D32" s="2472"/>
      <c r="E32" s="2473"/>
    </row>
    <row r="33" spans="1:5" ht="18" customHeight="1">
      <c r="A33" s="985" t="s">
        <v>589</v>
      </c>
      <c r="B33" s="2441">
        <f>'Anexo 4 _ PREVID '!D43</f>
        <v>99649032.13</v>
      </c>
      <c r="C33" s="2442"/>
      <c r="D33" s="2442"/>
      <c r="E33" s="2443"/>
    </row>
    <row r="34" spans="1:5" ht="18" customHeight="1">
      <c r="A34" s="985" t="s">
        <v>924</v>
      </c>
      <c r="B34" s="2441">
        <f>'Anexo 4 _ PREVID '!D59</f>
        <v>0</v>
      </c>
      <c r="C34" s="2442"/>
      <c r="D34" s="2442"/>
      <c r="E34" s="2443"/>
    </row>
    <row r="35" spans="1:5" ht="18" customHeight="1">
      <c r="A35" s="985" t="s">
        <v>590</v>
      </c>
      <c r="B35" s="2441">
        <f>'Anexo 4 _ PREVID '!G59</f>
        <v>0</v>
      </c>
      <c r="C35" s="2442"/>
      <c r="D35" s="2442"/>
      <c r="E35" s="2443"/>
    </row>
    <row r="36" spans="1:5" ht="18" customHeight="1">
      <c r="A36" s="985" t="s">
        <v>591</v>
      </c>
      <c r="B36" s="2466">
        <f>B33-B35</f>
        <v>99649032.13</v>
      </c>
      <c r="C36" s="2467"/>
      <c r="D36" s="2467"/>
      <c r="E36" s="2468"/>
    </row>
    <row r="37" spans="1:5" ht="21" customHeight="1">
      <c r="A37" s="988" t="s">
        <v>592</v>
      </c>
      <c r="B37" s="2478"/>
      <c r="C37" s="2467"/>
      <c r="D37" s="2467"/>
      <c r="E37" s="2468"/>
    </row>
    <row r="38" spans="1:5" ht="18" customHeight="1">
      <c r="A38" s="985" t="s">
        <v>589</v>
      </c>
      <c r="B38" s="2441">
        <f>'Anexo 4 _ PREVID '!D118</f>
        <v>100937665.54</v>
      </c>
      <c r="C38" s="2442"/>
      <c r="D38" s="2442"/>
      <c r="E38" s="2443"/>
    </row>
    <row r="39" spans="1:5" ht="18" customHeight="1">
      <c r="A39" s="985" t="s">
        <v>924</v>
      </c>
      <c r="B39" s="2441">
        <f>'Anexo 4 _ PREVID '!D134</f>
        <v>312045997.33</v>
      </c>
      <c r="C39" s="2442"/>
      <c r="D39" s="2442"/>
      <c r="E39" s="2443"/>
    </row>
    <row r="40" spans="1:5" ht="18" customHeight="1">
      <c r="A40" s="985" t="s">
        <v>590</v>
      </c>
      <c r="B40" s="2441">
        <f>'Anexo 4 _ PREVID '!G134</f>
        <v>312045997.33</v>
      </c>
      <c r="C40" s="2442"/>
      <c r="D40" s="2442"/>
      <c r="E40" s="2443"/>
    </row>
    <row r="41" spans="1:5" ht="18" customHeight="1">
      <c r="A41" s="986" t="s">
        <v>591</v>
      </c>
      <c r="B41" s="2444">
        <f>B38-B40</f>
        <v>-211108331.78999996</v>
      </c>
      <c r="C41" s="2445"/>
      <c r="D41" s="2445"/>
      <c r="E41" s="2446"/>
    </row>
    <row r="42" spans="1:5" ht="15" customHeight="1">
      <c r="A42" s="392"/>
      <c r="B42" s="392"/>
      <c r="C42" s="581"/>
      <c r="D42" s="392"/>
      <c r="E42" s="392"/>
    </row>
    <row r="43" spans="1:5" ht="43.5" customHeight="1">
      <c r="A43" s="2458" t="s">
        <v>711</v>
      </c>
      <c r="B43" s="582" t="s">
        <v>357</v>
      </c>
      <c r="C43" s="582" t="s">
        <v>365</v>
      </c>
      <c r="D43" s="2447" t="s">
        <v>250</v>
      </c>
      <c r="E43" s="2448"/>
    </row>
    <row r="44" spans="1:5" ht="19.5" customHeight="1">
      <c r="A44" s="2458"/>
      <c r="B44" s="583" t="s">
        <v>66</v>
      </c>
      <c r="C44" s="584" t="s">
        <v>67</v>
      </c>
      <c r="D44" s="2449" t="s">
        <v>68</v>
      </c>
      <c r="E44" s="2450"/>
    </row>
    <row r="45" spans="1:5" ht="21" customHeight="1">
      <c r="A45" s="989" t="s">
        <v>712</v>
      </c>
      <c r="B45" s="585">
        <f>'Anexo 6 _ RES PRIM e NOM'!B74:P74</f>
        <v>258588010</v>
      </c>
      <c r="C45" s="586">
        <f>'Anexo 6 _ RES PRIM e NOM'!B71</f>
        <v>26441298.13999939</v>
      </c>
      <c r="D45" s="2451">
        <f>(C45/B45)*100</f>
        <v>10.225260691707783</v>
      </c>
      <c r="E45" s="2452"/>
    </row>
    <row r="46" spans="1:5" ht="21" customHeight="1">
      <c r="A46" s="983" t="s">
        <v>713</v>
      </c>
      <c r="B46" s="587">
        <f>'Anexo 6 _ RES PRIM e NOM'!B84:P84</f>
        <v>-4113360</v>
      </c>
      <c r="C46" s="586">
        <f>'Anexo 6 _ RES PRIM e NOM'!B81</f>
        <v>40547777.03999939</v>
      </c>
      <c r="D46" s="2459">
        <f>(C46/B46)*100</f>
        <v>-985.7580430596736</v>
      </c>
      <c r="E46" s="2460"/>
    </row>
    <row r="47" spans="1:5" ht="15" customHeight="1">
      <c r="A47" s="990"/>
      <c r="B47" s="392"/>
      <c r="C47" s="581"/>
      <c r="D47" s="392"/>
      <c r="E47" s="964"/>
    </row>
    <row r="48" spans="1:5" ht="33" customHeight="1">
      <c r="A48" s="984" t="s">
        <v>500</v>
      </c>
      <c r="B48" s="961" t="s">
        <v>251</v>
      </c>
      <c r="C48" s="588" t="s">
        <v>367</v>
      </c>
      <c r="D48" s="588" t="s">
        <v>366</v>
      </c>
      <c r="E48" s="967" t="s">
        <v>368</v>
      </c>
    </row>
    <row r="49" spans="1:5" s="345" customFormat="1" ht="21" customHeight="1">
      <c r="A49" s="988" t="s">
        <v>252</v>
      </c>
      <c r="B49" s="589">
        <f>B50+B54</f>
        <v>306668543.23</v>
      </c>
      <c r="C49" s="589">
        <f>C50+C54</f>
        <v>0</v>
      </c>
      <c r="D49" s="589">
        <f>D50+D54</f>
        <v>0</v>
      </c>
      <c r="E49" s="968">
        <f>E50+E54</f>
        <v>306668543.23</v>
      </c>
    </row>
    <row r="50" spans="1:5" ht="21" customHeight="1">
      <c r="A50" s="985" t="s">
        <v>358</v>
      </c>
      <c r="B50" s="391">
        <f>'Anexo 7 _  RP'!B62+'Anexo 7 _  RP'!C62</f>
        <v>306668543.23</v>
      </c>
      <c r="C50" s="391">
        <f>'Anexo 7 _  RP'!E62</f>
        <v>0</v>
      </c>
      <c r="D50" s="391">
        <f>'Anexo 7 _  RP'!D62</f>
        <v>0</v>
      </c>
      <c r="E50" s="958">
        <f>B50-C50-D50</f>
        <v>306668543.23</v>
      </c>
    </row>
    <row r="51" spans="1:5" ht="21" customHeight="1">
      <c r="A51" s="985" t="s">
        <v>359</v>
      </c>
      <c r="B51" s="391"/>
      <c r="C51" s="391"/>
      <c r="D51" s="391"/>
      <c r="E51" s="958"/>
    </row>
    <row r="52" spans="1:5" ht="21" customHeight="1">
      <c r="A52" s="985" t="s">
        <v>593</v>
      </c>
      <c r="B52" s="391"/>
      <c r="C52" s="391"/>
      <c r="D52" s="391"/>
      <c r="E52" s="958"/>
    </row>
    <row r="53" spans="1:5" ht="21" customHeight="1">
      <c r="A53" s="985" t="s">
        <v>594</v>
      </c>
      <c r="B53" s="391"/>
      <c r="C53" s="391"/>
      <c r="D53" s="391"/>
      <c r="E53" s="958"/>
    </row>
    <row r="54" spans="1:5" ht="21" customHeight="1">
      <c r="A54" s="985" t="s">
        <v>595</v>
      </c>
      <c r="B54" s="391"/>
      <c r="C54" s="391"/>
      <c r="D54" s="391"/>
      <c r="E54" s="958">
        <f>B54-C54-D54</f>
        <v>0</v>
      </c>
    </row>
    <row r="55" spans="1:5" s="345" customFormat="1" ht="21" customHeight="1">
      <c r="A55" s="988" t="s">
        <v>253</v>
      </c>
      <c r="B55" s="589">
        <f>B56+B60</f>
        <v>360507140.43</v>
      </c>
      <c r="C55" s="589">
        <f>C56+C60</f>
        <v>0</v>
      </c>
      <c r="D55" s="589">
        <f>D56+D60</f>
        <v>0</v>
      </c>
      <c r="E55" s="968">
        <f>E56+E60</f>
        <v>360507140.43</v>
      </c>
    </row>
    <row r="56" spans="1:5" ht="21" customHeight="1">
      <c r="A56" s="985" t="s">
        <v>358</v>
      </c>
      <c r="B56" s="391">
        <f>'Anexo 7 _  RP'!G62+'Anexo 7 _  RP'!H62</f>
        <v>360507140.43</v>
      </c>
      <c r="C56" s="391">
        <f>'Anexo 7 _  RP'!K62</f>
        <v>0</v>
      </c>
      <c r="D56" s="391">
        <f>'Anexo 7 _  RP'!J62</f>
        <v>0</v>
      </c>
      <c r="E56" s="958">
        <f>B56-C56-D56</f>
        <v>360507140.43</v>
      </c>
    </row>
    <row r="57" spans="1:5" ht="21" customHeight="1">
      <c r="A57" s="985" t="s">
        <v>359</v>
      </c>
      <c r="B57" s="391"/>
      <c r="C57" s="391"/>
      <c r="D57" s="391"/>
      <c r="E57" s="958"/>
    </row>
    <row r="58" spans="1:5" ht="21" customHeight="1">
      <c r="A58" s="985" t="s">
        <v>593</v>
      </c>
      <c r="B58" s="391"/>
      <c r="C58" s="391"/>
      <c r="D58" s="391"/>
      <c r="E58" s="958"/>
    </row>
    <row r="59" spans="1:5" ht="21" customHeight="1">
      <c r="A59" s="985" t="s">
        <v>594</v>
      </c>
      <c r="B59" s="391"/>
      <c r="C59" s="391"/>
      <c r="D59" s="391"/>
      <c r="E59" s="958"/>
    </row>
    <row r="60" spans="1:5" ht="21" customHeight="1">
      <c r="A60" s="985" t="s">
        <v>595</v>
      </c>
      <c r="B60" s="391"/>
      <c r="C60" s="391"/>
      <c r="D60" s="391"/>
      <c r="E60" s="958">
        <f>B60-C60-D60</f>
        <v>0</v>
      </c>
    </row>
    <row r="61" spans="1:5" ht="21" customHeight="1">
      <c r="A61" s="991" t="s">
        <v>209</v>
      </c>
      <c r="B61" s="84">
        <f>B49+B55</f>
        <v>667175683.6600001</v>
      </c>
      <c r="C61" s="84">
        <f>C49+C55</f>
        <v>0</v>
      </c>
      <c r="D61" s="85">
        <f>D49+D55</f>
        <v>0</v>
      </c>
      <c r="E61" s="969">
        <f>E49+E55</f>
        <v>667175683.6600001</v>
      </c>
    </row>
    <row r="62" spans="1:5" ht="15" customHeight="1">
      <c r="A62" s="992"/>
      <c r="B62" s="590"/>
      <c r="C62" s="581"/>
      <c r="D62" s="419"/>
      <c r="E62" s="966"/>
    </row>
    <row r="63" spans="1:5" ht="15" customHeight="1">
      <c r="A63" s="2431" t="s">
        <v>406</v>
      </c>
      <c r="B63" s="591" t="s">
        <v>254</v>
      </c>
      <c r="C63" s="2413" t="s">
        <v>255</v>
      </c>
      <c r="D63" s="2413"/>
      <c r="E63" s="2414"/>
    </row>
    <row r="64" spans="1:5" ht="45.75" customHeight="1">
      <c r="A64" s="2431"/>
      <c r="B64" s="592" t="s">
        <v>256</v>
      </c>
      <c r="C64" s="1148" t="s">
        <v>655</v>
      </c>
      <c r="D64" s="2413" t="s">
        <v>360</v>
      </c>
      <c r="E64" s="2414"/>
    </row>
    <row r="65" spans="1:5" ht="39.75" customHeight="1">
      <c r="A65" s="985" t="s">
        <v>361</v>
      </c>
      <c r="B65" s="86">
        <f>'Anexo 8 _ ENSINO'!E130</f>
        <v>554128067.58</v>
      </c>
      <c r="C65" s="593">
        <v>0.25</v>
      </c>
      <c r="D65" s="2409">
        <f>'Anexo 8 _ ENSINO'!E131</f>
        <v>25.83261905071695</v>
      </c>
      <c r="E65" s="2410"/>
    </row>
    <row r="66" spans="1:5" ht="39.75" customHeight="1">
      <c r="A66" s="993" t="s">
        <v>653</v>
      </c>
      <c r="B66" s="86">
        <f>'Anexo 8 _ ENSINO'!F112</f>
        <v>463811972.18</v>
      </c>
      <c r="C66" s="593">
        <v>0.6</v>
      </c>
      <c r="D66" s="2411">
        <f>B66/'Anexo 8 _ ENSINO'!F119*100</f>
        <v>73.24257786808634</v>
      </c>
      <c r="E66" s="2412"/>
    </row>
    <row r="67" spans="1:5" ht="39.75" customHeight="1">
      <c r="A67" s="994" t="s">
        <v>654</v>
      </c>
      <c r="B67" s="87">
        <f>'Anexo 8 _ ENSINO'!F76</f>
        <v>322555581.87</v>
      </c>
      <c r="C67" s="594">
        <v>0.6</v>
      </c>
      <c r="D67" s="2411">
        <f>B67/'Anexo 8 _ ENSINO'!D65*100</f>
        <v>81.38694866349677</v>
      </c>
      <c r="E67" s="2412"/>
    </row>
    <row r="68" spans="1:5" ht="39.75" customHeight="1">
      <c r="A68" s="995" t="s">
        <v>381</v>
      </c>
      <c r="B68" s="595">
        <f>'Anexo 8 _ ENSINO'!E124</f>
        <v>187716056.45</v>
      </c>
      <c r="C68" s="1147">
        <v>0.1</v>
      </c>
      <c r="D68" s="2433">
        <f>B68/'Anexo 8 _ ENSINO'!D67*100</f>
        <v>100</v>
      </c>
      <c r="E68" s="2434"/>
    </row>
    <row r="69" spans="1:5" s="390" customFormat="1" ht="21" customHeight="1">
      <c r="A69" s="996" t="s">
        <v>257</v>
      </c>
      <c r="B69" s="2422" t="s">
        <v>258</v>
      </c>
      <c r="C69" s="2422"/>
      <c r="D69" s="2413" t="s">
        <v>259</v>
      </c>
      <c r="E69" s="2414"/>
    </row>
    <row r="70" spans="1:5" s="390" customFormat="1" ht="21" customHeight="1">
      <c r="A70" s="997" t="s">
        <v>260</v>
      </c>
      <c r="B70" s="2425">
        <f>'Anexo 9 _ OP CRED'!D10</f>
        <v>234142387.62</v>
      </c>
      <c r="C70" s="2426"/>
      <c r="D70" s="2425">
        <f>'Anexo 9 _ OP CRED'!E10</f>
        <v>4815532.590000004</v>
      </c>
      <c r="E70" s="2432"/>
    </row>
    <row r="71" spans="1:5" s="390" customFormat="1" ht="21" customHeight="1">
      <c r="A71" s="998" t="s">
        <v>261</v>
      </c>
      <c r="B71" s="2423">
        <f>'Anexo 9 _ OP CRED'!D20</f>
        <v>542813304.65</v>
      </c>
      <c r="C71" s="2430"/>
      <c r="D71" s="2423">
        <f>'Anexo 9 _ OP CRED'!E20</f>
        <v>112920020.75999999</v>
      </c>
      <c r="E71" s="2424"/>
    </row>
    <row r="72" spans="1:5" s="390" customFormat="1" ht="21" customHeight="1">
      <c r="A72" s="984" t="s">
        <v>262</v>
      </c>
      <c r="B72" s="960" t="s">
        <v>369</v>
      </c>
      <c r="C72" s="596" t="s">
        <v>263</v>
      </c>
      <c r="D72" s="960" t="s">
        <v>264</v>
      </c>
      <c r="E72" s="967" t="s">
        <v>265</v>
      </c>
    </row>
    <row r="73" spans="1:5" s="390" customFormat="1" ht="21" customHeight="1">
      <c r="A73" s="999" t="s">
        <v>596</v>
      </c>
      <c r="B73" s="597"/>
      <c r="C73" s="598"/>
      <c r="D73" s="599"/>
      <c r="E73" s="970"/>
    </row>
    <row r="74" spans="1:5" s="390" customFormat="1" ht="21" customHeight="1">
      <c r="A74" s="1000" t="s">
        <v>597</v>
      </c>
      <c r="B74" s="1523">
        <f>'Anexo 10 _ RPPS'!J13</f>
        <v>37874888.33</v>
      </c>
      <c r="C74" s="1527">
        <f>'Anexo 10 _ RPPS'!J22</f>
        <v>52264185.17</v>
      </c>
      <c r="D74" s="1524">
        <f>'Anexo 10 _ RPPS'!J31</f>
        <v>48235264.17</v>
      </c>
      <c r="E74" s="1525">
        <f>'Anexo 10 _ RPPS'!J36</f>
        <v>39210470.89</v>
      </c>
    </row>
    <row r="75" spans="1:5" s="390" customFormat="1" ht="21" customHeight="1">
      <c r="A75" s="1000" t="s">
        <v>598</v>
      </c>
      <c r="B75" s="600">
        <f>'Anexo 10 _ RPPS'!K13</f>
        <v>19805306.65</v>
      </c>
      <c r="C75" s="1527">
        <f>'Anexo 10 _ RPPS'!K22</f>
        <v>61884328.56</v>
      </c>
      <c r="D75" s="1524">
        <f>'Anexo 10 _ RPPS'!K31</f>
        <v>219721544.84</v>
      </c>
      <c r="E75" s="1525">
        <f>'Anexo 10 _ RPPS'!K36</f>
        <v>345896515.02</v>
      </c>
    </row>
    <row r="76" spans="1:5" s="390" customFormat="1" ht="21" customHeight="1">
      <c r="A76" s="1000" t="s">
        <v>599</v>
      </c>
      <c r="B76" s="600">
        <f>B74-B75</f>
        <v>18069581.68</v>
      </c>
      <c r="C76" s="600">
        <f>C74-C75</f>
        <v>-9620143.39</v>
      </c>
      <c r="D76" s="600">
        <f>D74-D75</f>
        <v>-171486280.67000002</v>
      </c>
      <c r="E76" s="1526">
        <f>E74-E75</f>
        <v>-306686044.13</v>
      </c>
    </row>
    <row r="77" spans="1:5" s="390" customFormat="1" ht="21" customHeight="1">
      <c r="A77" s="999" t="s">
        <v>602</v>
      </c>
      <c r="B77" s="603"/>
      <c r="C77" s="601"/>
      <c r="D77" s="602"/>
      <c r="E77" s="970"/>
    </row>
    <row r="78" spans="1:5" s="390" customFormat="1" ht="21" customHeight="1">
      <c r="A78" s="1000" t="s">
        <v>597</v>
      </c>
      <c r="B78" s="15">
        <f>'Anexo 10 _ RPPS'!J102</f>
        <v>386566252.93</v>
      </c>
      <c r="C78" s="15">
        <f>'Anexo 10 _ RPPS'!J111</f>
        <v>695117437.48</v>
      </c>
      <c r="D78" s="16">
        <f>'Anexo 10 _ RPPS'!J120</f>
        <v>932950231.62</v>
      </c>
      <c r="E78" s="971">
        <f>'Anexo 10 _ RPPS'!J125</f>
        <v>978859390.95</v>
      </c>
    </row>
    <row r="79" spans="1:5" s="390" customFormat="1" ht="21" customHeight="1">
      <c r="A79" s="1000" t="s">
        <v>598</v>
      </c>
      <c r="B79" s="15">
        <f>'Anexo 10 _ RPPS'!K102</f>
        <v>386566252.93</v>
      </c>
      <c r="C79" s="15">
        <f>'Anexo 10 _ RPPS'!K111</f>
        <v>695117437.48</v>
      </c>
      <c r="D79" s="16">
        <f>'Anexo 10 _ RPPS'!K120</f>
        <v>932950231.62</v>
      </c>
      <c r="E79" s="971">
        <f>'Anexo 10 _ RPPS'!K125</f>
        <v>978859390.95</v>
      </c>
    </row>
    <row r="80" spans="1:5" s="390" customFormat="1" ht="21" customHeight="1">
      <c r="A80" s="1000" t="s">
        <v>599</v>
      </c>
      <c r="B80" s="15">
        <f>B78-B79</f>
        <v>0</v>
      </c>
      <c r="C80" s="15">
        <f>C78-C79</f>
        <v>0</v>
      </c>
      <c r="D80" s="15">
        <f>D78-D79</f>
        <v>0</v>
      </c>
      <c r="E80" s="15">
        <f>E78-E79</f>
        <v>0</v>
      </c>
    </row>
    <row r="81" spans="1:5" s="390" customFormat="1" ht="15" customHeight="1">
      <c r="A81" s="1001"/>
      <c r="B81" s="605"/>
      <c r="C81" s="369"/>
      <c r="D81" s="605"/>
      <c r="E81" s="972"/>
    </row>
    <row r="82" spans="1:5" s="390" customFormat="1" ht="21" customHeight="1">
      <c r="A82" s="1002" t="s">
        <v>266</v>
      </c>
      <c r="B82" s="2422" t="s">
        <v>258</v>
      </c>
      <c r="C82" s="2422"/>
      <c r="D82" s="2413" t="s">
        <v>259</v>
      </c>
      <c r="E82" s="2414"/>
    </row>
    <row r="83" spans="1:5" s="390" customFormat="1" ht="21" customHeight="1">
      <c r="A83" s="1000" t="s">
        <v>267</v>
      </c>
      <c r="B83" s="2425">
        <f>'Anexo 11 _ AL ATIVOS'!D10</f>
        <v>0</v>
      </c>
      <c r="C83" s="2426"/>
      <c r="D83" s="2425">
        <f>'Anexo 11 _ AL ATIVOS'!F10</f>
        <v>0</v>
      </c>
      <c r="E83" s="2432"/>
    </row>
    <row r="84" spans="1:5" s="390" customFormat="1" ht="21" customHeight="1">
      <c r="A84" s="998" t="s">
        <v>268</v>
      </c>
      <c r="B84" s="2423"/>
      <c r="C84" s="2430"/>
      <c r="D84" s="2423"/>
      <c r="E84" s="2424"/>
    </row>
    <row r="85" spans="1:5" s="390" customFormat="1" ht="15" customHeight="1">
      <c r="A85" s="1003"/>
      <c r="B85" s="604"/>
      <c r="C85" s="606"/>
      <c r="D85" s="369"/>
      <c r="E85" s="973"/>
    </row>
    <row r="86" spans="1:5" s="390" customFormat="1" ht="21" customHeight="1">
      <c r="A86" s="2407" t="s">
        <v>364</v>
      </c>
      <c r="B86" s="2415" t="s">
        <v>258</v>
      </c>
      <c r="C86" s="2416"/>
      <c r="D86" s="2413" t="s">
        <v>362</v>
      </c>
      <c r="E86" s="2414"/>
    </row>
    <row r="87" spans="1:5" s="390" customFormat="1" ht="48" customHeight="1">
      <c r="A87" s="2408"/>
      <c r="B87" s="2417"/>
      <c r="C87" s="2418"/>
      <c r="D87" s="607" t="s">
        <v>363</v>
      </c>
      <c r="E87" s="974" t="s">
        <v>360</v>
      </c>
    </row>
    <row r="88" spans="1:5" s="390" customFormat="1" ht="21" customHeight="1">
      <c r="A88" s="1004" t="s">
        <v>948</v>
      </c>
      <c r="B88" s="2419">
        <f>'Anexo 12 _ SAÚDE'!I70</f>
        <v>491074247.06000006</v>
      </c>
      <c r="C88" s="2420" t="e">
        <f>#REF!</f>
        <v>#REF!</v>
      </c>
      <c r="D88" s="526">
        <v>15</v>
      </c>
      <c r="E88" s="526">
        <f>'Anexo 12 _ SAÚDE'!G75</f>
        <v>22.21234696212022</v>
      </c>
    </row>
    <row r="89" spans="1:5" s="390" customFormat="1" ht="15" customHeight="1">
      <c r="A89" s="1003"/>
      <c r="B89" s="604"/>
      <c r="C89" s="608"/>
      <c r="D89" s="604"/>
      <c r="E89" s="975"/>
    </row>
    <row r="90" spans="1:5" s="390" customFormat="1" ht="34.5" customHeight="1">
      <c r="A90" s="1005" t="s">
        <v>269</v>
      </c>
      <c r="B90" s="2413" t="s">
        <v>270</v>
      </c>
      <c r="C90" s="2413"/>
      <c r="D90" s="2413"/>
      <c r="E90" s="2414"/>
    </row>
    <row r="91" spans="1:5" s="390" customFormat="1" ht="21" customHeight="1">
      <c r="A91" s="1006" t="s">
        <v>271</v>
      </c>
      <c r="B91" s="2427"/>
      <c r="C91" s="2428"/>
      <c r="D91" s="2428"/>
      <c r="E91" s="2429"/>
    </row>
    <row r="92" spans="1:5" ht="18.75" customHeight="1">
      <c r="A92" s="352" t="s">
        <v>58</v>
      </c>
      <c r="B92" s="353"/>
      <c r="C92" s="2421"/>
      <c r="D92" s="2421"/>
      <c r="E92" s="353"/>
    </row>
    <row r="93" spans="1:5" s="243" customFormat="1" ht="15" customHeight="1">
      <c r="A93" s="377"/>
      <c r="B93" s="524"/>
      <c r="C93" s="422"/>
      <c r="D93" s="422"/>
      <c r="E93" s="524"/>
    </row>
    <row r="94" spans="1:5" s="243" customFormat="1" ht="15" customHeight="1">
      <c r="A94" s="609" t="str">
        <f>'Anexo 6 _ RES PRIM e NOM'!A119</f>
        <v>  São Luís,  de Janeiro de 2021.</v>
      </c>
      <c r="B94" s="524"/>
      <c r="C94" s="422"/>
      <c r="D94" s="422"/>
      <c r="E94" s="524"/>
    </row>
    <row r="95" spans="1:5" s="243" customFormat="1" ht="15" customHeight="1">
      <c r="A95" s="377"/>
      <c r="B95" s="524"/>
      <c r="C95" s="422"/>
      <c r="D95" s="422"/>
      <c r="E95" s="524"/>
    </row>
    <row r="96" spans="1:5" s="243" customFormat="1" ht="12.75" customHeight="1">
      <c r="A96" s="609"/>
      <c r="B96" s="524"/>
      <c r="C96" s="524"/>
      <c r="D96" s="524"/>
      <c r="E96" s="524"/>
    </row>
    <row r="97" spans="1:5" s="243" customFormat="1" ht="12.75" customHeight="1">
      <c r="A97" s="525"/>
      <c r="B97" s="524"/>
      <c r="C97" s="524"/>
      <c r="D97" s="524"/>
      <c r="E97" s="524"/>
    </row>
    <row r="98" spans="1:5" s="243" customFormat="1" ht="12.75" customHeight="1">
      <c r="A98" s="525"/>
      <c r="B98" s="524"/>
      <c r="C98" s="524"/>
      <c r="D98" s="524"/>
      <c r="E98" s="524"/>
    </row>
    <row r="99" spans="1:5" s="243" customFormat="1" ht="12.75" customHeight="1">
      <c r="A99" s="525"/>
      <c r="B99" s="524"/>
      <c r="C99" s="524"/>
      <c r="D99" s="524"/>
      <c r="E99" s="524"/>
    </row>
    <row r="100" spans="1:5" s="243" customFormat="1" ht="12.75" customHeight="1">
      <c r="A100" s="525"/>
      <c r="B100" s="524"/>
      <c r="C100" s="524"/>
      <c r="D100" s="524"/>
      <c r="E100" s="524"/>
    </row>
    <row r="101" spans="1:5" s="243" customFormat="1" ht="12.75" customHeight="1">
      <c r="A101" s="525"/>
      <c r="B101" s="524"/>
      <c r="C101" s="524"/>
      <c r="D101" s="524"/>
      <c r="E101" s="524"/>
    </row>
    <row r="102" spans="1:5" s="243" customFormat="1" ht="12.75" customHeight="1">
      <c r="A102" s="525"/>
      <c r="B102" s="524"/>
      <c r="C102" s="524"/>
      <c r="D102" s="524"/>
      <c r="E102" s="524"/>
    </row>
    <row r="103" spans="1:5" s="243" customFormat="1" ht="12.75" customHeight="1">
      <c r="A103" s="395"/>
      <c r="B103" s="856"/>
      <c r="C103" s="396"/>
      <c r="D103" s="396"/>
      <c r="E103" s="396"/>
    </row>
    <row r="104" spans="2:5" ht="15" customHeight="1">
      <c r="B104" s="353"/>
      <c r="C104" s="857"/>
      <c r="D104" s="353"/>
      <c r="E104" s="353"/>
    </row>
    <row r="105" spans="2:5" ht="15" customHeight="1">
      <c r="B105" s="353"/>
      <c r="C105" s="857"/>
      <c r="D105" s="353"/>
      <c r="E105" s="353"/>
    </row>
    <row r="106" spans="2:5" ht="15" customHeight="1">
      <c r="B106" s="353"/>
      <c r="C106" s="857"/>
      <c r="D106" s="353"/>
      <c r="E106" s="353"/>
    </row>
    <row r="107" spans="2:5" ht="15" customHeight="1">
      <c r="B107" s="353"/>
      <c r="C107" s="857"/>
      <c r="D107" s="353"/>
      <c r="E107" s="353"/>
    </row>
    <row r="108" spans="2:5" ht="15" customHeight="1">
      <c r="B108" s="353"/>
      <c r="C108" s="857"/>
      <c r="D108" s="353"/>
      <c r="E108" s="353"/>
    </row>
    <row r="109" spans="2:5" ht="15" customHeight="1">
      <c r="B109" s="353"/>
      <c r="C109" s="857"/>
      <c r="D109" s="353"/>
      <c r="E109" s="353"/>
    </row>
    <row r="110" spans="2:5" ht="15" customHeight="1">
      <c r="B110" s="353"/>
      <c r="C110" s="857"/>
      <c r="D110" s="353"/>
      <c r="E110" s="353"/>
    </row>
    <row r="111" spans="2:5" ht="15" customHeight="1">
      <c r="B111" s="353"/>
      <c r="C111" s="857"/>
      <c r="D111" s="353"/>
      <c r="E111" s="353"/>
    </row>
    <row r="112" spans="2:5" ht="10.5" customHeight="1">
      <c r="B112" s="353"/>
      <c r="C112" s="857"/>
      <c r="D112" s="353"/>
      <c r="E112" s="353"/>
    </row>
    <row r="113" spans="2:5" ht="15" customHeight="1">
      <c r="B113" s="353"/>
      <c r="C113" s="857"/>
      <c r="D113" s="353"/>
      <c r="E113" s="353"/>
    </row>
    <row r="114" ht="14.25" customHeight="1">
      <c r="B114" s="250" t="s">
        <v>446</v>
      </c>
    </row>
    <row r="115" ht="147.7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.5" customHeight="1" hidden="1"/>
    <row r="133" ht="15" customHeight="1" hidden="1"/>
    <row r="134" ht="15" customHeight="1" hidden="1"/>
    <row r="135" ht="15" customHeight="1" hidden="1"/>
  </sheetData>
  <sheetProtection/>
  <mergeCells count="71">
    <mergeCell ref="B34:E34"/>
    <mergeCell ref="B39:E39"/>
    <mergeCell ref="B40:E40"/>
    <mergeCell ref="B37:E37"/>
    <mergeCell ref="B20:E20"/>
    <mergeCell ref="B22:E22"/>
    <mergeCell ref="A27:C27"/>
    <mergeCell ref="D27:E27"/>
    <mergeCell ref="B24:E24"/>
    <mergeCell ref="B18:E18"/>
    <mergeCell ref="B36:E36"/>
    <mergeCell ref="B31:E31"/>
    <mergeCell ref="B33:E33"/>
    <mergeCell ref="B32:E32"/>
    <mergeCell ref="B35:E35"/>
    <mergeCell ref="B23:E23"/>
    <mergeCell ref="B26:C26"/>
    <mergeCell ref="D26:E26"/>
    <mergeCell ref="D29:E29"/>
    <mergeCell ref="A1:E1"/>
    <mergeCell ref="A2:E2"/>
    <mergeCell ref="A3:E3"/>
    <mergeCell ref="A4:C4"/>
    <mergeCell ref="B12:E12"/>
    <mergeCell ref="B7:E7"/>
    <mergeCell ref="B10:E10"/>
    <mergeCell ref="C5:E5"/>
    <mergeCell ref="B11:E11"/>
    <mergeCell ref="B9:E9"/>
    <mergeCell ref="B15:E15"/>
    <mergeCell ref="B16:E16"/>
    <mergeCell ref="A29:C29"/>
    <mergeCell ref="A28:C28"/>
    <mergeCell ref="D28:E28"/>
    <mergeCell ref="D71:E71"/>
    <mergeCell ref="B71:C71"/>
    <mergeCell ref="D70:E70"/>
    <mergeCell ref="A43:A44"/>
    <mergeCell ref="D46:E46"/>
    <mergeCell ref="B13:E13"/>
    <mergeCell ref="B14:E14"/>
    <mergeCell ref="B19:E19"/>
    <mergeCell ref="D64:E64"/>
    <mergeCell ref="B38:E38"/>
    <mergeCell ref="B41:E41"/>
    <mergeCell ref="B17:E17"/>
    <mergeCell ref="D43:E43"/>
    <mergeCell ref="D44:E44"/>
    <mergeCell ref="D45:E45"/>
    <mergeCell ref="A63:A64"/>
    <mergeCell ref="C63:E63"/>
    <mergeCell ref="D83:E83"/>
    <mergeCell ref="D67:E67"/>
    <mergeCell ref="D68:E68"/>
    <mergeCell ref="B70:C70"/>
    <mergeCell ref="C92:D92"/>
    <mergeCell ref="B69:C69"/>
    <mergeCell ref="D69:E69"/>
    <mergeCell ref="B82:C82"/>
    <mergeCell ref="D82:E82"/>
    <mergeCell ref="D86:E86"/>
    <mergeCell ref="D84:E84"/>
    <mergeCell ref="B83:C83"/>
    <mergeCell ref="B91:E91"/>
    <mergeCell ref="B84:C84"/>
    <mergeCell ref="A86:A87"/>
    <mergeCell ref="D65:E65"/>
    <mergeCell ref="D66:E66"/>
    <mergeCell ref="B90:E90"/>
    <mergeCell ref="B86:C87"/>
    <mergeCell ref="B88:C88"/>
  </mergeCells>
  <printOptions horizontalCentered="1"/>
  <pageMargins left="0.3937007874015748" right="0.3937007874015748" top="0.3937007874015748" bottom="0.2362204724409449" header="0.31496062992125984" footer="0.35433070866141736"/>
  <pageSetup horizontalDpi="600" verticalDpi="600" orientation="landscape" paperSize="9" scale="65" r:id="rId2"/>
  <headerFooter scaleWithDoc="0">
    <oddFooter>&amp;L&amp;8Publicação: Diário Oficial do Município nº 19
Data: 28.01.2021&amp;R&amp;8&amp;P / &amp;N</oddFooter>
  </headerFooter>
  <rowBreaks count="2" manualBreakCount="2">
    <brk id="42" max="4" man="1"/>
    <brk id="71" max="4" man="1"/>
  </rowBreaks>
  <ignoredErrors>
    <ignoredError sqref="E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P250"/>
  <sheetViews>
    <sheetView showGridLines="0" view="pageBreakPreview" zoomScaleNormal="85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9.8515625" style="26" customWidth="1"/>
    <col min="2" max="2" width="33.421875" style="26" customWidth="1"/>
    <col min="3" max="3" width="19.7109375" style="26" customWidth="1"/>
    <col min="4" max="4" width="21.8515625" style="20" customWidth="1"/>
    <col min="5" max="5" width="20.28125" style="29" customWidth="1"/>
    <col min="6" max="6" width="19.7109375" style="20" customWidth="1"/>
    <col min="7" max="7" width="10.57421875" style="20" customWidth="1"/>
    <col min="8" max="8" width="19.421875" style="20" customWidth="1"/>
    <col min="9" max="9" width="19.28125" style="29" customWidth="1"/>
    <col min="10" max="10" width="19.28125" style="20" customWidth="1"/>
    <col min="11" max="11" width="9.28125" style="20" customWidth="1"/>
    <col min="12" max="12" width="21.421875" style="20" customWidth="1"/>
    <col min="13" max="13" width="21.421875" style="34" customWidth="1"/>
    <col min="14" max="14" width="20.8515625" style="20" customWidth="1"/>
    <col min="15" max="15" width="16.140625" style="20" bestFit="1" customWidth="1"/>
    <col min="16" max="16384" width="9.140625" style="19" customWidth="1"/>
  </cols>
  <sheetData>
    <row r="1" spans="1:17" s="268" customFormat="1" ht="15">
      <c r="A1" s="230" t="s">
        <v>373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s="268" customFormat="1" ht="15.75">
      <c r="A2" s="230" t="s">
        <v>0</v>
      </c>
      <c r="B2" s="230"/>
      <c r="C2" s="230"/>
      <c r="D2" s="230"/>
      <c r="E2" s="230"/>
      <c r="F2" s="226"/>
      <c r="G2" s="1593"/>
      <c r="H2" s="1593"/>
      <c r="I2" s="4"/>
      <c r="J2" s="7"/>
      <c r="K2" s="7"/>
      <c r="L2" s="5"/>
      <c r="M2" s="3"/>
      <c r="N2" s="3"/>
      <c r="O2" s="3"/>
      <c r="P2" s="1"/>
      <c r="Q2" s="1"/>
    </row>
    <row r="3" spans="1:15" s="268" customFormat="1" ht="12.75" customHeight="1">
      <c r="A3" s="227" t="s">
        <v>433</v>
      </c>
      <c r="B3" s="858"/>
      <c r="C3" s="158"/>
      <c r="D3" s="158"/>
      <c r="E3" s="267"/>
      <c r="F3" s="158"/>
      <c r="G3" s="158"/>
      <c r="H3" s="158"/>
      <c r="I3" s="267"/>
      <c r="J3" s="158"/>
      <c r="K3" s="158"/>
      <c r="L3" s="158"/>
      <c r="M3" s="242"/>
      <c r="N3" s="158"/>
      <c r="O3" s="158"/>
    </row>
    <row r="4" spans="1:15" s="268" customFormat="1" ht="12.75" customHeight="1">
      <c r="A4" s="233" t="s">
        <v>1</v>
      </c>
      <c r="B4" s="233"/>
      <c r="C4" s="233"/>
      <c r="D4" s="233"/>
      <c r="E4" s="233"/>
      <c r="F4" s="234"/>
      <c r="G4" s="158"/>
      <c r="H4" s="158"/>
      <c r="I4" s="267"/>
      <c r="J4" s="158"/>
      <c r="K4" s="269"/>
      <c r="M4" s="242"/>
      <c r="N4" s="158"/>
      <c r="O4" s="158"/>
    </row>
    <row r="5" spans="1:15" s="129" customFormat="1" ht="15.75" customHeight="1">
      <c r="A5" s="228" t="str">
        <f>'Anexo 1 _ BAL ORC'!A5</f>
        <v>            Referência: JANEIRO-DEZEMBRO/2020; BIMESTRE: NOVEMBRO-DEZEMBRO/2020</v>
      </c>
      <c r="B5" s="228"/>
      <c r="C5" s="228"/>
      <c r="D5" s="228"/>
      <c r="E5" s="228"/>
      <c r="F5" s="228"/>
      <c r="G5" s="270"/>
      <c r="H5" s="270"/>
      <c r="I5" s="225"/>
      <c r="J5" s="225"/>
      <c r="K5" s="269"/>
      <c r="M5" s="212"/>
      <c r="N5" s="97"/>
      <c r="O5" s="102"/>
    </row>
    <row r="6" spans="1:15" s="268" customFormat="1" ht="11.25" customHeight="1">
      <c r="A6" s="158"/>
      <c r="B6" s="158"/>
      <c r="C6" s="158"/>
      <c r="D6" s="158"/>
      <c r="E6" s="267"/>
      <c r="F6" s="158"/>
      <c r="G6" s="158"/>
      <c r="H6" s="271"/>
      <c r="I6" s="267"/>
      <c r="J6" s="272"/>
      <c r="K6" s="158"/>
      <c r="L6" s="158"/>
      <c r="M6" s="242"/>
      <c r="N6" s="158"/>
      <c r="O6" s="158"/>
    </row>
    <row r="7" spans="1:15" s="268" customFormat="1" ht="15">
      <c r="A7" s="273" t="s">
        <v>325</v>
      </c>
      <c r="B7" s="273"/>
      <c r="C7" s="273"/>
      <c r="D7" s="273"/>
      <c r="F7" s="274"/>
      <c r="G7" s="274"/>
      <c r="H7" s="274"/>
      <c r="I7" s="275"/>
      <c r="J7" s="274"/>
      <c r="K7" s="158"/>
      <c r="L7" s="158"/>
      <c r="M7" s="276"/>
      <c r="N7" s="242"/>
      <c r="O7" s="158"/>
    </row>
    <row r="8" spans="1:15" s="619" customFormat="1" ht="15.75" customHeight="1">
      <c r="A8" s="1636" t="s">
        <v>62</v>
      </c>
      <c r="B8" s="1637"/>
      <c r="C8" s="635" t="s">
        <v>159</v>
      </c>
      <c r="D8" s="636" t="s">
        <v>159</v>
      </c>
      <c r="E8" s="1645" t="s">
        <v>324</v>
      </c>
      <c r="F8" s="1646"/>
      <c r="G8" s="1647"/>
      <c r="H8" s="1645" t="s">
        <v>420</v>
      </c>
      <c r="I8" s="1653" t="s">
        <v>160</v>
      </c>
      <c r="J8" s="1653"/>
      <c r="K8" s="1654"/>
      <c r="L8" s="1655" t="s">
        <v>167</v>
      </c>
      <c r="M8" s="1642" t="s">
        <v>153</v>
      </c>
      <c r="N8" s="637"/>
      <c r="O8" s="618"/>
    </row>
    <row r="9" spans="1:15" s="619" customFormat="1" ht="16.5" customHeight="1">
      <c r="A9" s="1636"/>
      <c r="B9" s="1637"/>
      <c r="C9" s="638"/>
      <c r="D9" s="639"/>
      <c r="E9" s="1648"/>
      <c r="F9" s="1649"/>
      <c r="G9" s="1650"/>
      <c r="H9" s="1651"/>
      <c r="I9" s="1653"/>
      <c r="J9" s="1653"/>
      <c r="K9" s="1654"/>
      <c r="L9" s="1656"/>
      <c r="M9" s="1642"/>
      <c r="N9" s="637"/>
      <c r="O9" s="618"/>
    </row>
    <row r="10" spans="1:15" s="619" customFormat="1" ht="14.25" customHeight="1">
      <c r="A10" s="1636"/>
      <c r="B10" s="1637"/>
      <c r="C10" s="638" t="s">
        <v>161</v>
      </c>
      <c r="D10" s="639" t="s">
        <v>162</v>
      </c>
      <c r="E10" s="1640" t="s">
        <v>64</v>
      </c>
      <c r="F10" s="640" t="s">
        <v>65</v>
      </c>
      <c r="G10" s="829" t="s">
        <v>63</v>
      </c>
      <c r="H10" s="1652"/>
      <c r="I10" s="1638" t="s">
        <v>64</v>
      </c>
      <c r="J10" s="634" t="s">
        <v>65</v>
      </c>
      <c r="K10" s="829" t="s">
        <v>63</v>
      </c>
      <c r="L10" s="1657"/>
      <c r="M10" s="1642"/>
      <c r="N10" s="618"/>
      <c r="O10" s="618"/>
    </row>
    <row r="11" spans="1:15" s="619" customFormat="1" ht="15" customHeight="1">
      <c r="A11" s="1045"/>
      <c r="B11" s="641"/>
      <c r="C11" s="641"/>
      <c r="D11" s="642" t="s">
        <v>66</v>
      </c>
      <c r="E11" s="1641"/>
      <c r="F11" s="643" t="s">
        <v>67</v>
      </c>
      <c r="G11" s="1205" t="s">
        <v>447</v>
      </c>
      <c r="H11" s="1652"/>
      <c r="I11" s="1639"/>
      <c r="J11" s="644" t="s">
        <v>230</v>
      </c>
      <c r="K11" s="1198" t="s">
        <v>929</v>
      </c>
      <c r="L11" s="645" t="s">
        <v>421</v>
      </c>
      <c r="M11" s="1050" t="s">
        <v>422</v>
      </c>
      <c r="N11" s="618"/>
      <c r="O11" s="618"/>
    </row>
    <row r="12" spans="1:15" s="268" customFormat="1" ht="15.75" customHeight="1">
      <c r="A12" s="1643" t="s">
        <v>933</v>
      </c>
      <c r="B12" s="1644"/>
      <c r="C12" s="646">
        <f>C13+C17+C20+C31+C35+C41+C46+C57+C62+C70+C75+C79+C88+C90+C93+C97+C102+C106+C108+C112+C115+C120</f>
        <v>3413388863.02</v>
      </c>
      <c r="D12" s="646">
        <f>D13+D17+D20+D31+D35+D41+D46+D57+D62+D70+D75+D79+D88+D90+D93+D97+D102+D106+D108+D112+D115+D120</f>
        <v>3889887249.5899997</v>
      </c>
      <c r="E12" s="646">
        <f>E13+E17+E20+E31+E35+E41+E46+E57+E62+E70+E75+E79+E88+E90+E93+E97+E102+E106+E108+E112+E115+E120</f>
        <v>185168741.44000006</v>
      </c>
      <c r="F12" s="646">
        <f>F13+F17+F20+F31+F35+F41+F46+F57+F62+F70+F75+F79+F88+F90+F93+F97+F102+F106+F108+F112+F115+F120</f>
        <v>3457668028.55</v>
      </c>
      <c r="G12" s="647">
        <f>F12/F126*100</f>
        <v>98.13807160736195</v>
      </c>
      <c r="H12" s="646">
        <f>H13+H17+H20+H31+H35+H41+H46+H57+H62+H70+H75+H79+H88+H90+H93+H97+H102+H106+H108+H112+H115+H120</f>
        <v>432219221.0399999</v>
      </c>
      <c r="I12" s="648">
        <f>I13+I17+I20+I31+I35+I41+I46+I57+I62+I70+I75+I79+I88+I90+I93+I97+I102+I106+I108+I112+I115+I120</f>
        <v>768759587.08</v>
      </c>
      <c r="J12" s="649">
        <f>J13+J17+J20+J31+J35+J41+J46+J57+J62+J70+J75+J79+J88+J90+J93+J97+J102+J106+J108+J112+J115+J120</f>
        <v>3206849001.9400005</v>
      </c>
      <c r="K12" s="646">
        <f>J12/J126*100</f>
        <v>98.04727739484332</v>
      </c>
      <c r="L12" s="646">
        <f>L13+L17+L20+L31+L35+L41+L46+L57+L62+L70+L75+L79+L88+L90+L93+L97+L102+L106+L108+L112+L115+L120</f>
        <v>683038247.6500001</v>
      </c>
      <c r="M12" s="1051">
        <f>M13+M17+M20+M31+M35+M41+M46+M57+M62+M70+M75+M79+M88+M90+M93+M97+M102+M106+M108+M112+M115+M120</f>
        <v>250819026.61</v>
      </c>
      <c r="N12" s="274"/>
      <c r="O12" s="255"/>
    </row>
    <row r="13" spans="1:14" s="618" customFormat="1" ht="18" customHeight="1">
      <c r="A13" s="1616" t="s">
        <v>69</v>
      </c>
      <c r="B13" s="1631"/>
      <c r="C13" s="650">
        <f>C16+C14+C15</f>
        <v>105532304</v>
      </c>
      <c r="D13" s="650">
        <f>D14+D15+D16</f>
        <v>105532304</v>
      </c>
      <c r="E13" s="650">
        <f>E16+E14+E15</f>
        <v>0</v>
      </c>
      <c r="F13" s="651">
        <f>F16+F14+F15</f>
        <v>0</v>
      </c>
      <c r="G13" s="652">
        <f>F13/F126*100</f>
        <v>0</v>
      </c>
      <c r="H13" s="653">
        <f>H16+H14+H15</f>
        <v>105532304</v>
      </c>
      <c r="I13" s="654">
        <f>I16+I14+I15</f>
        <v>0</v>
      </c>
      <c r="J13" s="653">
        <f>J16+J14+J15</f>
        <v>0</v>
      </c>
      <c r="K13" s="652">
        <f>J13/J126*100</f>
        <v>0</v>
      </c>
      <c r="L13" s="650">
        <f>L16+L14+L15</f>
        <v>105532304</v>
      </c>
      <c r="M13" s="654">
        <f>M16+M14+M15</f>
        <v>0</v>
      </c>
      <c r="N13" s="274"/>
    </row>
    <row r="14" spans="1:15" s="158" customFormat="1" ht="18" customHeight="1">
      <c r="A14" s="1618" t="s">
        <v>70</v>
      </c>
      <c r="B14" s="1627"/>
      <c r="C14" s="655">
        <v>21443212.16</v>
      </c>
      <c r="D14" s="655">
        <f>C14</f>
        <v>21443212.16</v>
      </c>
      <c r="E14" s="104"/>
      <c r="F14" s="656"/>
      <c r="G14" s="1207">
        <f>F14/F126*100</f>
        <v>0</v>
      </c>
      <c r="H14" s="657">
        <f>D14-F14</f>
        <v>21443212.16</v>
      </c>
      <c r="I14" s="109"/>
      <c r="J14" s="658"/>
      <c r="K14" s="1207">
        <f>J14/J126*100</f>
        <v>0</v>
      </c>
      <c r="L14" s="655">
        <f>D14-J14</f>
        <v>21443212.16</v>
      </c>
      <c r="M14" s="742">
        <f>F14-J14</f>
        <v>0</v>
      </c>
      <c r="N14" s="274"/>
      <c r="O14" s="255"/>
    </row>
    <row r="15" spans="1:14" s="158" customFormat="1" ht="18" customHeight="1">
      <c r="A15" s="1618" t="s">
        <v>71</v>
      </c>
      <c r="B15" s="1627"/>
      <c r="C15" s="655">
        <v>84089091.84</v>
      </c>
      <c r="D15" s="655">
        <f>C15</f>
        <v>84089091.84</v>
      </c>
      <c r="E15" s="104"/>
      <c r="F15" s="656"/>
      <c r="G15" s="1207">
        <f>F15/F126*100</f>
        <v>0</v>
      </c>
      <c r="H15" s="660">
        <f>D15-F15</f>
        <v>84089091.84</v>
      </c>
      <c r="I15" s="661"/>
      <c r="J15" s="658"/>
      <c r="K15" s="1207">
        <f>J15/J126*100</f>
        <v>0</v>
      </c>
      <c r="L15" s="655">
        <f>D15-J15</f>
        <v>84089091.84</v>
      </c>
      <c r="M15" s="742">
        <f>F15-J15</f>
        <v>0</v>
      </c>
      <c r="N15" s="274"/>
    </row>
    <row r="16" spans="1:14" s="158" customFormat="1" ht="18" customHeight="1">
      <c r="A16" s="1620" t="s">
        <v>656</v>
      </c>
      <c r="B16" s="1615"/>
      <c r="C16" s="663"/>
      <c r="D16" s="655"/>
      <c r="E16" s="104"/>
      <c r="F16" s="656"/>
      <c r="G16" s="1208">
        <f>F16/F126*100</f>
        <v>0</v>
      </c>
      <c r="H16" s="660">
        <f>D16-F16</f>
        <v>0</v>
      </c>
      <c r="I16" s="661"/>
      <c r="J16" s="664"/>
      <c r="K16" s="1208">
        <f>J16/J126*100</f>
        <v>0</v>
      </c>
      <c r="L16" s="655">
        <f>D16-J16</f>
        <v>0</v>
      </c>
      <c r="M16" s="1052"/>
      <c r="N16" s="274"/>
    </row>
    <row r="17" spans="1:15" s="619" customFormat="1" ht="18" customHeight="1">
      <c r="A17" s="1616" t="s">
        <v>72</v>
      </c>
      <c r="B17" s="1631"/>
      <c r="C17" s="650">
        <f>C19+C18</f>
        <v>1140000</v>
      </c>
      <c r="D17" s="650">
        <f>D18+D19</f>
        <v>1823020.39</v>
      </c>
      <c r="E17" s="256">
        <f>E18+E19</f>
        <v>-72362.75</v>
      </c>
      <c r="F17" s="651">
        <f>F19+F18</f>
        <v>1191844.57</v>
      </c>
      <c r="G17" s="1206">
        <f>F17/F126*100</f>
        <v>0.03382780729373717</v>
      </c>
      <c r="H17" s="666">
        <f>H19+H18</f>
        <v>631175.8199999998</v>
      </c>
      <c r="I17" s="667">
        <f>I18+I19</f>
        <v>294296.51</v>
      </c>
      <c r="J17" s="653">
        <f>J19+J18</f>
        <v>918884.86</v>
      </c>
      <c r="K17" s="1206">
        <f>J17/J126*100</f>
        <v>0.02809429402751387</v>
      </c>
      <c r="L17" s="650">
        <f>L19+L18</f>
        <v>904135.5299999999</v>
      </c>
      <c r="M17" s="689">
        <f>M18+M19</f>
        <v>272959.7100000001</v>
      </c>
      <c r="N17" s="620"/>
      <c r="O17" s="618"/>
    </row>
    <row r="18" spans="1:15" s="268" customFormat="1" ht="18" customHeight="1">
      <c r="A18" s="1618" t="s">
        <v>73</v>
      </c>
      <c r="B18" s="1627"/>
      <c r="C18" s="659">
        <v>1140000</v>
      </c>
      <c r="D18" s="669">
        <v>1823020.39</v>
      </c>
      <c r="E18" s="104">
        <f>F18-'[19]Anexo 2 _ DP FUNC'!F18</f>
        <v>-72362.75</v>
      </c>
      <c r="F18" s="656">
        <v>1191844.57</v>
      </c>
      <c r="G18" s="1207">
        <f>F18/F126*100</f>
        <v>0.03382780729373717</v>
      </c>
      <c r="H18" s="657">
        <f>D18-F18</f>
        <v>631175.8199999998</v>
      </c>
      <c r="I18" s="109">
        <f>J18-'[19]Anexo 2 _ DP FUNC'!J18</f>
        <v>294296.51</v>
      </c>
      <c r="J18" s="109">
        <v>918884.86</v>
      </c>
      <c r="K18" s="1207">
        <f>J18/J126*100</f>
        <v>0.02809429402751387</v>
      </c>
      <c r="L18" s="655">
        <f>D18-J18</f>
        <v>904135.5299999999</v>
      </c>
      <c r="M18" s="742">
        <f>F18-J18</f>
        <v>272959.7100000001</v>
      </c>
      <c r="N18" s="274"/>
      <c r="O18" s="158"/>
    </row>
    <row r="19" spans="1:15" s="268" customFormat="1" ht="18" customHeight="1">
      <c r="A19" s="1620" t="s">
        <v>74</v>
      </c>
      <c r="B19" s="1615"/>
      <c r="C19" s="655"/>
      <c r="D19" s="663"/>
      <c r="E19" s="104"/>
      <c r="F19" s="670"/>
      <c r="G19" s="1208">
        <f>F19/F126*100</f>
        <v>0</v>
      </c>
      <c r="H19" s="671">
        <f>D19-F19</f>
        <v>0</v>
      </c>
      <c r="I19" s="109"/>
      <c r="J19" s="664"/>
      <c r="K19" s="1208">
        <f>J19/J126*100</f>
        <v>0</v>
      </c>
      <c r="L19" s="672">
        <f>D19-J19</f>
        <v>0</v>
      </c>
      <c r="M19" s="738"/>
      <c r="N19" s="274"/>
      <c r="O19" s="158"/>
    </row>
    <row r="20" spans="1:15" s="619" customFormat="1" ht="18" customHeight="1">
      <c r="A20" s="1633" t="s">
        <v>75</v>
      </c>
      <c r="B20" s="1623"/>
      <c r="C20" s="650">
        <f aca="true" t="shared" si="0" ref="C20:L20">SUM(C21:C30)</f>
        <v>474152889.64</v>
      </c>
      <c r="D20" s="617">
        <f t="shared" si="0"/>
        <v>441883468.74</v>
      </c>
      <c r="E20" s="650">
        <f>SUM(E21:E30)</f>
        <v>-3438663.4899999816</v>
      </c>
      <c r="F20" s="617">
        <f t="shared" si="0"/>
        <v>417758083.07</v>
      </c>
      <c r="G20" s="1206">
        <f>F20/F126*100</f>
        <v>11.857116511000259</v>
      </c>
      <c r="H20" s="673">
        <f t="shared" si="0"/>
        <v>24125385.669999976</v>
      </c>
      <c r="I20" s="667">
        <f>SUM(I21:I30)</f>
        <v>91703084.17</v>
      </c>
      <c r="J20" s="617">
        <f t="shared" si="0"/>
        <v>404521265.59999996</v>
      </c>
      <c r="K20" s="1206">
        <f>J20/J126*100</f>
        <v>12.367968905427858</v>
      </c>
      <c r="L20" s="617">
        <f t="shared" si="0"/>
        <v>37362203.140000015</v>
      </c>
      <c r="M20" s="689">
        <f>SUM(M21:M30)</f>
        <v>13236817.470000044</v>
      </c>
      <c r="N20" s="620"/>
      <c r="O20" s="618"/>
    </row>
    <row r="21" spans="1:15" s="268" customFormat="1" ht="18" customHeight="1">
      <c r="A21" s="1618" t="s">
        <v>76</v>
      </c>
      <c r="B21" s="1627"/>
      <c r="C21" s="655">
        <v>8194396.78</v>
      </c>
      <c r="D21" s="241">
        <v>6408689.24</v>
      </c>
      <c r="E21" s="104">
        <f>F21-'[19]Anexo 2 _ DP FUNC'!F21</f>
        <v>0</v>
      </c>
      <c r="F21" s="656">
        <v>3152566.88</v>
      </c>
      <c r="G21" s="1207">
        <f>F21/F126*100</f>
        <v>0.08947846689208663</v>
      </c>
      <c r="H21" s="657">
        <f aca="true" t="shared" si="1" ref="H21:H33">D21-F21</f>
        <v>3256122.3600000003</v>
      </c>
      <c r="I21" s="109">
        <f>J21-'[19]Anexo 2 _ DP FUNC'!J21</f>
        <v>1376862.76</v>
      </c>
      <c r="J21" s="109">
        <v>1478097.56</v>
      </c>
      <c r="K21" s="1207">
        <f>J21/J126*100</f>
        <v>0.04519185075265124</v>
      </c>
      <c r="L21" s="655">
        <f aca="true" t="shared" si="2" ref="L21:L29">D21-J21</f>
        <v>4930591.68</v>
      </c>
      <c r="M21" s="742">
        <f aca="true" t="shared" si="3" ref="M21:M29">F21-J21</f>
        <v>1674469.3199999998</v>
      </c>
      <c r="N21" s="274"/>
      <c r="O21" s="271"/>
    </row>
    <row r="22" spans="1:15" s="680" customFormat="1" ht="18" customHeight="1">
      <c r="A22" s="1634" t="s">
        <v>71</v>
      </c>
      <c r="B22" s="1635"/>
      <c r="C22" s="675">
        <v>420134733.01</v>
      </c>
      <c r="D22" s="676">
        <v>397576724.75</v>
      </c>
      <c r="E22" s="104">
        <f>F22-'[19]Anexo 2 _ DP FUNC'!F22</f>
        <v>-3020158.8299999833</v>
      </c>
      <c r="F22" s="656">
        <v>381581554.35</v>
      </c>
      <c r="G22" s="1207">
        <f>F22/F126*100</f>
        <v>10.830327722512086</v>
      </c>
      <c r="H22" s="657">
        <f t="shared" si="1"/>
        <v>15995170.399999976</v>
      </c>
      <c r="I22" s="109">
        <f>J22-'[19]Anexo 2 _ DP FUNC'!J22</f>
        <v>83546409.38</v>
      </c>
      <c r="J22" s="109">
        <v>375291546.27</v>
      </c>
      <c r="K22" s="1207">
        <f>J22/J126*100</f>
        <v>11.474289659043578</v>
      </c>
      <c r="L22" s="655">
        <f t="shared" si="2"/>
        <v>22285178.48000002</v>
      </c>
      <c r="M22" s="742">
        <f t="shared" si="3"/>
        <v>6290008.080000043</v>
      </c>
      <c r="N22" s="678"/>
      <c r="O22" s="679"/>
    </row>
    <row r="23" spans="1:15" s="268" customFormat="1" ht="18" customHeight="1">
      <c r="A23" s="1618" t="s">
        <v>77</v>
      </c>
      <c r="B23" s="1627"/>
      <c r="C23" s="655">
        <v>10640134.68</v>
      </c>
      <c r="D23" s="241">
        <v>9890134.68</v>
      </c>
      <c r="E23" s="104">
        <f>F23-'[19]Anexo 2 _ DP FUNC'!F23</f>
        <v>-3646118.17</v>
      </c>
      <c r="F23" s="104">
        <v>5983680.93</v>
      </c>
      <c r="G23" s="1207">
        <f>F23/F126*100</f>
        <v>0.169833223645303</v>
      </c>
      <c r="H23" s="657">
        <f t="shared" si="1"/>
        <v>3906453.75</v>
      </c>
      <c r="I23" s="109">
        <f>J23-'[19]Anexo 2 _ DP FUNC'!J23</f>
        <v>751797.3700000001</v>
      </c>
      <c r="J23" s="109">
        <v>4546249.75</v>
      </c>
      <c r="K23" s="1207">
        <f>J23/J126*100</f>
        <v>0.13899856528163</v>
      </c>
      <c r="L23" s="655">
        <f t="shared" si="2"/>
        <v>5343884.93</v>
      </c>
      <c r="M23" s="742">
        <f t="shared" si="3"/>
        <v>1437431.1799999997</v>
      </c>
      <c r="N23" s="274"/>
      <c r="O23" s="158"/>
    </row>
    <row r="24" spans="1:15" s="268" customFormat="1" ht="18" customHeight="1">
      <c r="A24" s="1618" t="s">
        <v>78</v>
      </c>
      <c r="B24" s="1627"/>
      <c r="C24" s="655">
        <v>9101294.04</v>
      </c>
      <c r="D24" s="241">
        <v>10100711.39</v>
      </c>
      <c r="E24" s="104">
        <f>F24-'[19]Anexo 2 _ DP FUNC'!F24</f>
        <v>841482.370000001</v>
      </c>
      <c r="F24" s="104">
        <v>9865194.07</v>
      </c>
      <c r="G24" s="1207">
        <f>F24/F126*100</f>
        <v>0.28000117827048426</v>
      </c>
      <c r="H24" s="657">
        <f t="shared" si="1"/>
        <v>235517.3200000003</v>
      </c>
      <c r="I24" s="109">
        <f>J24-'[19]Anexo 2 _ DP FUNC'!J24</f>
        <v>2068062.25</v>
      </c>
      <c r="J24" s="109">
        <v>9847328.07</v>
      </c>
      <c r="K24" s="1207">
        <f>J24/J126*100</f>
        <v>0.30107551253371473</v>
      </c>
      <c r="L24" s="655">
        <f t="shared" si="2"/>
        <v>253383.3200000003</v>
      </c>
      <c r="M24" s="742">
        <f t="shared" si="3"/>
        <v>17866</v>
      </c>
      <c r="N24" s="274"/>
      <c r="O24" s="158"/>
    </row>
    <row r="25" spans="1:15" s="268" customFormat="1" ht="18" customHeight="1">
      <c r="A25" s="1046" t="s">
        <v>79</v>
      </c>
      <c r="B25" s="702"/>
      <c r="C25" s="655">
        <v>9040000</v>
      </c>
      <c r="D25" s="241">
        <v>7425347.31</v>
      </c>
      <c r="E25" s="104">
        <f>F25-'[19]Anexo 2 _ DP FUNC'!F25</f>
        <v>1827313.2999999998</v>
      </c>
      <c r="F25" s="104">
        <v>7339840.06</v>
      </c>
      <c r="G25" s="1207">
        <f>F25/F126*100</f>
        <v>0.20832472737324484</v>
      </c>
      <c r="H25" s="657">
        <f t="shared" si="1"/>
        <v>85507.25</v>
      </c>
      <c r="I25" s="109">
        <f>J25-'[19]Anexo 2 _ DP FUNC'!J25</f>
        <v>534688.5899999999</v>
      </c>
      <c r="J25" s="109">
        <v>5055599.68</v>
      </c>
      <c r="K25" s="1207">
        <f>J25/J126*100</f>
        <v>0.15457160094609135</v>
      </c>
      <c r="L25" s="655">
        <f t="shared" si="2"/>
        <v>2369747.63</v>
      </c>
      <c r="M25" s="742">
        <f t="shared" si="3"/>
        <v>2284240.38</v>
      </c>
      <c r="N25" s="274"/>
      <c r="O25" s="158"/>
    </row>
    <row r="26" spans="1:15" s="268" customFormat="1" ht="18" customHeight="1">
      <c r="A26" s="1046" t="s">
        <v>80</v>
      </c>
      <c r="B26" s="702"/>
      <c r="C26" s="655">
        <v>1310461.74</v>
      </c>
      <c r="D26" s="241">
        <v>1277848.24</v>
      </c>
      <c r="E26" s="104">
        <f>F26-'[19]Anexo 2 _ DP FUNC'!F26</f>
        <v>-156965.21999999997</v>
      </c>
      <c r="F26" s="104">
        <v>698933.65</v>
      </c>
      <c r="G26" s="1207">
        <f>F26/F126*100</f>
        <v>0.01983764780948605</v>
      </c>
      <c r="H26" s="657">
        <f t="shared" si="1"/>
        <v>578914.59</v>
      </c>
      <c r="I26" s="109">
        <f>J26-'[19]Anexo 2 _ DP FUNC'!J26</f>
        <v>254070.48999999993</v>
      </c>
      <c r="J26" s="109">
        <v>646839.08</v>
      </c>
      <c r="K26" s="1207">
        <f>J26/J126*100</f>
        <v>0.019776675068959745</v>
      </c>
      <c r="L26" s="655">
        <f t="shared" si="2"/>
        <v>631009.16</v>
      </c>
      <c r="M26" s="742">
        <f t="shared" si="3"/>
        <v>52094.570000000065</v>
      </c>
      <c r="N26" s="274"/>
      <c r="O26" s="158"/>
    </row>
    <row r="27" spans="1:15" s="268" customFormat="1" ht="18" customHeight="1">
      <c r="A27" s="1046" t="s">
        <v>741</v>
      </c>
      <c r="B27" s="702"/>
      <c r="C27" s="655">
        <v>15281869.39</v>
      </c>
      <c r="D27" s="241">
        <v>9204013.13</v>
      </c>
      <c r="E27" s="104">
        <f>F27-'[19]Anexo 2 _ DP FUNC'!F27</f>
        <v>715783.0600000005</v>
      </c>
      <c r="F27" s="104">
        <v>9136313.13</v>
      </c>
      <c r="G27" s="1207">
        <f>F27/F126*100</f>
        <v>0.2593135444975687</v>
      </c>
      <c r="H27" s="657">
        <f t="shared" si="1"/>
        <v>67700</v>
      </c>
      <c r="I27" s="109">
        <f>J27-'[19]Anexo 2 _ DP FUNC'!J27</f>
        <v>3171193.33</v>
      </c>
      <c r="J27" s="109">
        <v>7655605.19</v>
      </c>
      <c r="K27" s="1207">
        <f>J27/J126*100</f>
        <v>0.2340650418012342</v>
      </c>
      <c r="L27" s="655">
        <f t="shared" si="2"/>
        <v>1548407.9400000004</v>
      </c>
      <c r="M27" s="742">
        <f t="shared" si="3"/>
        <v>1480707.9400000004</v>
      </c>
      <c r="N27" s="274"/>
      <c r="O27" s="158"/>
    </row>
    <row r="28" spans="1:15" s="268" customFormat="1" ht="18" customHeight="1">
      <c r="A28" s="1046" t="s">
        <v>657</v>
      </c>
      <c r="B28" s="702"/>
      <c r="C28" s="655">
        <v>350000</v>
      </c>
      <c r="D28" s="241">
        <v>0</v>
      </c>
      <c r="E28" s="104">
        <f>F28-'[19]Anexo 2 _ DP FUNC'!F28</f>
        <v>0</v>
      </c>
      <c r="F28" s="104">
        <v>0</v>
      </c>
      <c r="G28" s="1207">
        <f>F28/F126*100</f>
        <v>0</v>
      </c>
      <c r="H28" s="657">
        <f t="shared" si="1"/>
        <v>0</v>
      </c>
      <c r="I28" s="109">
        <f>J28-'[19]Anexo 2 _ DP FUNC'!J28</f>
        <v>0</v>
      </c>
      <c r="J28" s="109">
        <v>0</v>
      </c>
      <c r="K28" s="1207">
        <f>J28/J126*100</f>
        <v>0</v>
      </c>
      <c r="L28" s="655">
        <f t="shared" si="2"/>
        <v>0</v>
      </c>
      <c r="M28" s="742">
        <f t="shared" si="3"/>
        <v>0</v>
      </c>
      <c r="N28" s="274"/>
      <c r="O28" s="158"/>
    </row>
    <row r="29" spans="1:15" s="268" customFormat="1" ht="18" customHeight="1">
      <c r="A29" s="1046" t="s">
        <v>281</v>
      </c>
      <c r="B29" s="702"/>
      <c r="C29" s="655">
        <v>100000</v>
      </c>
      <c r="D29" s="241">
        <v>0</v>
      </c>
      <c r="E29" s="104">
        <f>F29-'[19]Anexo 2 _ DP FUNC'!F29</f>
        <v>0</v>
      </c>
      <c r="F29" s="104">
        <v>0</v>
      </c>
      <c r="G29" s="1207">
        <f>F29/F126*100</f>
        <v>0</v>
      </c>
      <c r="H29" s="657">
        <f t="shared" si="1"/>
        <v>0</v>
      </c>
      <c r="I29" s="109">
        <f>J29-'[19]Anexo 2 _ DP FUNC'!J29</f>
        <v>0</v>
      </c>
      <c r="J29" s="109">
        <v>0</v>
      </c>
      <c r="K29" s="1207">
        <f>J29/J126*100</f>
        <v>0</v>
      </c>
      <c r="L29" s="655">
        <f t="shared" si="2"/>
        <v>0</v>
      </c>
      <c r="M29" s="742">
        <f t="shared" si="3"/>
        <v>0</v>
      </c>
      <c r="N29" s="274"/>
      <c r="O29" s="158"/>
    </row>
    <row r="30" spans="1:15" s="683" customFormat="1" ht="18" customHeight="1">
      <c r="A30" s="1047" t="s">
        <v>374</v>
      </c>
      <c r="B30" s="696"/>
      <c r="C30" s="663"/>
      <c r="D30" s="663"/>
      <c r="E30" s="104"/>
      <c r="F30" s="656"/>
      <c r="G30" s="1208"/>
      <c r="H30" s="657"/>
      <c r="I30" s="109"/>
      <c r="J30" s="658"/>
      <c r="K30" s="1208"/>
      <c r="L30" s="672"/>
      <c r="M30" s="738"/>
      <c r="N30" s="682"/>
      <c r="O30" s="242"/>
    </row>
    <row r="31" spans="1:15" s="619" customFormat="1" ht="18" customHeight="1">
      <c r="A31" s="1633" t="s">
        <v>81</v>
      </c>
      <c r="B31" s="1623"/>
      <c r="C31" s="684">
        <f aca="true" t="shared" si="4" ref="C31:H31">C34+C32+C33</f>
        <v>2992776</v>
      </c>
      <c r="D31" s="668">
        <f t="shared" si="4"/>
        <v>4398367.19</v>
      </c>
      <c r="E31" s="257">
        <f t="shared" si="4"/>
        <v>1695294.75</v>
      </c>
      <c r="F31" s="685">
        <f t="shared" si="4"/>
        <v>3959664.44</v>
      </c>
      <c r="G31" s="1206">
        <f>F31/F126*100</f>
        <v>0.11238610217789027</v>
      </c>
      <c r="H31" s="686">
        <f t="shared" si="4"/>
        <v>438702.75000000047</v>
      </c>
      <c r="I31" s="687">
        <f>I34+I32+I33</f>
        <v>1728778.25</v>
      </c>
      <c r="J31" s="688">
        <f>J32+J33+J34</f>
        <v>3429558.15</v>
      </c>
      <c r="K31" s="1206">
        <f>J31/J126*100</f>
        <v>0.10485646161430554</v>
      </c>
      <c r="L31" s="689">
        <f>L32+L33+L34</f>
        <v>968809.0400000005</v>
      </c>
      <c r="M31" s="689">
        <f>M32+M33+M34</f>
        <v>530106.29</v>
      </c>
      <c r="N31" s="620"/>
      <c r="O31" s="618"/>
    </row>
    <row r="32" spans="1:15" s="268" customFormat="1" ht="18" customHeight="1">
      <c r="A32" s="1618" t="s">
        <v>71</v>
      </c>
      <c r="B32" s="1627"/>
      <c r="C32" s="655"/>
      <c r="D32" s="659"/>
      <c r="E32" s="104"/>
      <c r="F32" s="677"/>
      <c r="G32" s="1207"/>
      <c r="H32" s="657"/>
      <c r="I32" s="109"/>
      <c r="J32" s="690"/>
      <c r="K32" s="1210"/>
      <c r="L32" s="669"/>
      <c r="M32" s="690"/>
      <c r="N32" s="274"/>
      <c r="O32" s="158"/>
    </row>
    <row r="33" spans="1:15" s="268" customFormat="1" ht="18" customHeight="1">
      <c r="A33" s="1618" t="s">
        <v>82</v>
      </c>
      <c r="B33" s="1627"/>
      <c r="C33" s="655">
        <v>2992776</v>
      </c>
      <c r="D33" s="659">
        <v>4398367.19</v>
      </c>
      <c r="E33" s="104">
        <f>F33-'[19]Anexo 2 _ DP FUNC'!F33</f>
        <v>1695294.75</v>
      </c>
      <c r="F33" s="104">
        <v>3959664.44</v>
      </c>
      <c r="G33" s="1207">
        <f>F33/F126*100</f>
        <v>0.11238610217789027</v>
      </c>
      <c r="H33" s="657">
        <f t="shared" si="1"/>
        <v>438702.75000000047</v>
      </c>
      <c r="I33" s="109">
        <f>J33-'[19]Anexo 2 _ DP FUNC'!J33</f>
        <v>1728778.25</v>
      </c>
      <c r="J33" s="109">
        <v>3429558.15</v>
      </c>
      <c r="K33" s="1207">
        <f>J33/J126*100</f>
        <v>0.10485646161430554</v>
      </c>
      <c r="L33" s="655">
        <f>D33-J33</f>
        <v>968809.0400000005</v>
      </c>
      <c r="M33" s="742">
        <f>F33-J33</f>
        <v>530106.29</v>
      </c>
      <c r="N33" s="274"/>
      <c r="O33" s="158"/>
    </row>
    <row r="34" spans="1:15" s="268" customFormat="1" ht="18" customHeight="1">
      <c r="A34" s="1620" t="s">
        <v>83</v>
      </c>
      <c r="B34" s="1615"/>
      <c r="C34" s="663"/>
      <c r="D34" s="659"/>
      <c r="E34" s="104"/>
      <c r="F34" s="691"/>
      <c r="G34" s="1208"/>
      <c r="H34" s="671"/>
      <c r="I34" s="109"/>
      <c r="J34" s="692"/>
      <c r="K34" s="1208"/>
      <c r="L34" s="672"/>
      <c r="M34" s="742"/>
      <c r="N34" s="274"/>
      <c r="O34" s="158"/>
    </row>
    <row r="35" spans="1:15" s="619" customFormat="1" ht="18" customHeight="1">
      <c r="A35" s="1633" t="s">
        <v>84</v>
      </c>
      <c r="B35" s="1623"/>
      <c r="C35" s="651">
        <f aca="true" t="shared" si="5" ref="C35:L35">C36+C37+C38+C39+C40</f>
        <v>53825702.7</v>
      </c>
      <c r="D35" s="651">
        <f t="shared" si="5"/>
        <v>72905012.16</v>
      </c>
      <c r="E35" s="693">
        <f t="shared" si="5"/>
        <v>1734324.4899999988</v>
      </c>
      <c r="F35" s="694">
        <f t="shared" si="5"/>
        <v>57462128.5</v>
      </c>
      <c r="G35" s="1206">
        <f>F35/F126*100</f>
        <v>1.630932303182757</v>
      </c>
      <c r="H35" s="695">
        <f t="shared" si="5"/>
        <v>15442883.660000004</v>
      </c>
      <c r="I35" s="687">
        <f>I36+I37+I38+I39+I40</f>
        <v>12120374.969999999</v>
      </c>
      <c r="J35" s="617">
        <f t="shared" si="5"/>
        <v>54819512.69</v>
      </c>
      <c r="K35" s="1206">
        <f>J35/J126*100</f>
        <v>1.6760701748398463</v>
      </c>
      <c r="L35" s="694">
        <f t="shared" si="5"/>
        <v>18085499.470000003</v>
      </c>
      <c r="M35" s="654">
        <f>M36+M37+M38+M39+M40</f>
        <v>2642615.8099999977</v>
      </c>
      <c r="N35" s="620"/>
      <c r="O35" s="618"/>
    </row>
    <row r="36" spans="1:15" s="268" customFormat="1" ht="18" customHeight="1">
      <c r="A36" s="1618" t="s">
        <v>71</v>
      </c>
      <c r="B36" s="1627"/>
      <c r="C36" s="655">
        <v>20654186</v>
      </c>
      <c r="D36" s="655">
        <v>22742960.97</v>
      </c>
      <c r="E36" s="104">
        <f>F36-'[19]Anexo 2 _ DP FUNC'!F36</f>
        <v>1029928.7100000009</v>
      </c>
      <c r="F36" s="104">
        <v>22337322.93</v>
      </c>
      <c r="G36" s="1207">
        <f>F36/F126*100</f>
        <v>0.6339942930092105</v>
      </c>
      <c r="H36" s="657">
        <f>D36-F36</f>
        <v>405638.0399999991</v>
      </c>
      <c r="I36" s="109">
        <f>J36-'[19]Anexo 2 _ DP FUNC'!J36</f>
        <v>4375826.809999999</v>
      </c>
      <c r="J36" s="109">
        <v>21391167.43</v>
      </c>
      <c r="K36" s="1207">
        <f>J36/J126*100</f>
        <v>0.6540207304865141</v>
      </c>
      <c r="L36" s="655">
        <f>D36-J36</f>
        <v>1351793.539999999</v>
      </c>
      <c r="M36" s="742">
        <f>F36-J36</f>
        <v>946155.5</v>
      </c>
      <c r="N36" s="274"/>
      <c r="O36" s="158"/>
    </row>
    <row r="37" spans="1:15" s="268" customFormat="1" ht="18" customHeight="1">
      <c r="A37" s="1618" t="s">
        <v>85</v>
      </c>
      <c r="B37" s="1627"/>
      <c r="C37" s="655">
        <v>722283</v>
      </c>
      <c r="D37" s="655">
        <v>722283</v>
      </c>
      <c r="E37" s="104">
        <f>F37-'[19]Anexo 2 _ DP FUNC'!F37</f>
        <v>0</v>
      </c>
      <c r="F37" s="104">
        <v>594030</v>
      </c>
      <c r="G37" s="1207">
        <f>F37/F126*100</f>
        <v>0.016860195425229558</v>
      </c>
      <c r="H37" s="657">
        <f>D37-F37</f>
        <v>128253</v>
      </c>
      <c r="I37" s="109">
        <f>J37-'[19]Anexo 2 _ DP FUNC'!J37</f>
        <v>6.510000000009313</v>
      </c>
      <c r="J37" s="109">
        <v>594010.2</v>
      </c>
      <c r="K37" s="1207">
        <f>J37/J126*100</f>
        <v>0.018161467165910557</v>
      </c>
      <c r="L37" s="1204">
        <f>D37-J37</f>
        <v>128272.80000000005</v>
      </c>
      <c r="M37" s="742">
        <f>F37-J37</f>
        <v>19.800000000046566</v>
      </c>
      <c r="N37" s="274"/>
      <c r="O37" s="158"/>
    </row>
    <row r="38" spans="1:15" s="268" customFormat="1" ht="18" customHeight="1">
      <c r="A38" s="1618" t="s">
        <v>86</v>
      </c>
      <c r="B38" s="1627"/>
      <c r="C38" s="655"/>
      <c r="D38" s="655"/>
      <c r="E38" s="104"/>
      <c r="F38" s="104"/>
      <c r="G38" s="1207"/>
      <c r="H38" s="657"/>
      <c r="I38" s="109"/>
      <c r="J38" s="109"/>
      <c r="K38" s="1210"/>
      <c r="L38" s="669"/>
      <c r="M38" s="690"/>
      <c r="N38" s="274"/>
      <c r="O38" s="158"/>
    </row>
    <row r="39" spans="1:15" s="268" customFormat="1" ht="18" customHeight="1">
      <c r="A39" s="1618" t="s">
        <v>375</v>
      </c>
      <c r="B39" s="1627"/>
      <c r="C39" s="655">
        <v>11896635.33</v>
      </c>
      <c r="D39" s="655">
        <v>8296109.74</v>
      </c>
      <c r="E39" s="104">
        <f>F39-'[19]Anexo 2 _ DP FUNC'!F39</f>
        <v>467227.02</v>
      </c>
      <c r="F39" s="104">
        <v>3882732.24</v>
      </c>
      <c r="G39" s="1207">
        <f>F39/F126*100</f>
        <v>0.11020255601609233</v>
      </c>
      <c r="H39" s="657">
        <f>D39-F39</f>
        <v>4413377.5</v>
      </c>
      <c r="I39" s="109">
        <f>J39-'[19]Anexo 2 _ DP FUNC'!J39</f>
        <v>1660073.21</v>
      </c>
      <c r="J39" s="109">
        <v>3355941.94</v>
      </c>
      <c r="K39" s="1207">
        <f>J39/J126*100</f>
        <v>0.10260569490896315</v>
      </c>
      <c r="L39" s="655">
        <f>D39-J39</f>
        <v>4940167.800000001</v>
      </c>
      <c r="M39" s="742">
        <f>F39-J39</f>
        <v>526790.3000000003</v>
      </c>
      <c r="N39" s="274"/>
      <c r="O39" s="158"/>
    </row>
    <row r="40" spans="1:15" s="268" customFormat="1" ht="18" customHeight="1">
      <c r="A40" s="1614" t="s">
        <v>87</v>
      </c>
      <c r="B40" s="1615"/>
      <c r="C40" s="663">
        <v>20552598.37</v>
      </c>
      <c r="D40" s="655">
        <v>41143658.45</v>
      </c>
      <c r="E40" s="104">
        <f>F40-'[19]Anexo 2 _ DP FUNC'!F40</f>
        <v>237168.7599999979</v>
      </c>
      <c r="F40" s="104">
        <v>30648043.33</v>
      </c>
      <c r="G40" s="1208">
        <f>F40/F126*100</f>
        <v>0.8698752587322244</v>
      </c>
      <c r="H40" s="657">
        <f>D40-F40</f>
        <v>10495615.120000005</v>
      </c>
      <c r="I40" s="109">
        <f>J40-'[19]Anexo 2 _ DP FUNC'!J40</f>
        <v>6084468.440000001</v>
      </c>
      <c r="J40" s="109">
        <v>29478393.12</v>
      </c>
      <c r="K40" s="1208">
        <f>J40/J126*100</f>
        <v>0.9012822822784587</v>
      </c>
      <c r="L40" s="655">
        <f>D40-J40</f>
        <v>11665265.330000002</v>
      </c>
      <c r="M40" s="742">
        <f>F40-J40</f>
        <v>1169650.2099999972</v>
      </c>
      <c r="N40" s="274"/>
      <c r="O40" s="158"/>
    </row>
    <row r="41" spans="1:15" s="619" customFormat="1" ht="18" customHeight="1">
      <c r="A41" s="1048" t="s">
        <v>88</v>
      </c>
      <c r="B41" s="698"/>
      <c r="C41" s="650">
        <f>C42+C43+C44+C45</f>
        <v>484256483.6</v>
      </c>
      <c r="D41" s="650">
        <f>D42+D43+D44+D45</f>
        <v>408668928.95000005</v>
      </c>
      <c r="E41" s="650">
        <f>E42+E43+E44+E45</f>
        <v>-8286085.589999985</v>
      </c>
      <c r="F41" s="650">
        <f>F42+F43+F44+F45</f>
        <v>366433504.59000003</v>
      </c>
      <c r="G41" s="1206">
        <f>F41/F126*100</f>
        <v>10.400384656901423</v>
      </c>
      <c r="H41" s="650">
        <f>H42+H43+H44+H45</f>
        <v>42235424.359999985</v>
      </c>
      <c r="I41" s="650">
        <f>I42+I43+I44+I45</f>
        <v>71786078.17999999</v>
      </c>
      <c r="J41" s="650">
        <f>J42+J43+J44+J45</f>
        <v>365191845.85</v>
      </c>
      <c r="K41" s="1206">
        <f>J41/J126*100</f>
        <v>11.165498029601252</v>
      </c>
      <c r="L41" s="650">
        <f>L42+L43+L44+L45</f>
        <v>43477083.099999994</v>
      </c>
      <c r="M41" s="650">
        <f>M42+M43+M44+M45</f>
        <v>1241658.740000002</v>
      </c>
      <c r="N41" s="620"/>
      <c r="O41" s="618"/>
    </row>
    <row r="42" spans="1:15" s="268" customFormat="1" ht="18" customHeight="1">
      <c r="A42" s="1046" t="s">
        <v>76</v>
      </c>
      <c r="B42" s="702"/>
      <c r="C42" s="655">
        <v>27584648</v>
      </c>
      <c r="D42" s="659">
        <v>26264373.35</v>
      </c>
      <c r="E42" s="104">
        <f>F42-'[19]Anexo 2 _ DP FUNC'!F42</f>
        <v>543321.9299999997</v>
      </c>
      <c r="F42" s="104">
        <v>23992336.53</v>
      </c>
      <c r="G42" s="1207">
        <f>F42/F126*100</f>
        <v>0.6809681036373146</v>
      </c>
      <c r="H42" s="657">
        <f>D42-F42</f>
        <v>2272036.8200000003</v>
      </c>
      <c r="I42" s="109">
        <f>J42-'[19]Anexo 2 _ DP FUNC'!J42</f>
        <v>5943700.7200000025</v>
      </c>
      <c r="J42" s="109">
        <v>23992336.53</v>
      </c>
      <c r="K42" s="1207">
        <f>J42/J126*100</f>
        <v>0.7335497473327419</v>
      </c>
      <c r="L42" s="655">
        <f>D42-J42</f>
        <v>2272036.8200000003</v>
      </c>
      <c r="M42" s="742">
        <f>F42-J42</f>
        <v>0</v>
      </c>
      <c r="N42" s="274"/>
      <c r="O42" s="158"/>
    </row>
    <row r="43" spans="1:15" s="268" customFormat="1" ht="18" customHeight="1">
      <c r="A43" s="1046" t="s">
        <v>90</v>
      </c>
      <c r="B43" s="702"/>
      <c r="C43" s="655">
        <v>320001163</v>
      </c>
      <c r="D43" s="659">
        <v>320001163.78</v>
      </c>
      <c r="E43" s="661">
        <f>F43-'[19]Anexo 2 _ DP FUNC'!F43</f>
        <v>-4988928.199999988</v>
      </c>
      <c r="F43" s="105">
        <v>312045997.33</v>
      </c>
      <c r="G43" s="1207">
        <f>F43/F126*100</f>
        <v>8.856718510251099</v>
      </c>
      <c r="H43" s="657">
        <f>D43-F43</f>
        <v>7955166.449999988</v>
      </c>
      <c r="I43" s="109">
        <f>J43-'[19]Anexo 2 _ DP FUNC'!J43</f>
        <v>60905957.91</v>
      </c>
      <c r="J43" s="109">
        <v>312045997.33</v>
      </c>
      <c r="K43" s="1207">
        <f>J43/J126*100</f>
        <v>9.540599024667603</v>
      </c>
      <c r="L43" s="690">
        <f>D43-J43</f>
        <v>7955166.449999988</v>
      </c>
      <c r="M43" s="742">
        <f>F43-J43</f>
        <v>0</v>
      </c>
      <c r="N43" s="274"/>
      <c r="O43" s="158"/>
    </row>
    <row r="44" spans="1:15" s="268" customFormat="1" ht="18" customHeight="1">
      <c r="A44" s="1046" t="s">
        <v>376</v>
      </c>
      <c r="B44" s="615"/>
      <c r="C44" s="1159">
        <v>36703938.6</v>
      </c>
      <c r="D44" s="1159">
        <v>31298938.6</v>
      </c>
      <c r="E44" s="104">
        <f>F44-'[19]Anexo 2 _ DP FUNC'!F44</f>
        <v>-3840479.3199999966</v>
      </c>
      <c r="F44" s="1158">
        <v>30395170.73</v>
      </c>
      <c r="G44" s="1207">
        <f>F44/F126*100</f>
        <v>0.8626980430130083</v>
      </c>
      <c r="H44" s="657">
        <f>D44-F44</f>
        <v>903767.870000001</v>
      </c>
      <c r="I44" s="109">
        <f>J44-'[19]Anexo 2 _ DP FUNC'!J44</f>
        <v>4936419.549999997</v>
      </c>
      <c r="J44" s="109">
        <v>29153511.99</v>
      </c>
      <c r="K44" s="1207">
        <f>J44/J126*100</f>
        <v>0.8913492576009044</v>
      </c>
      <c r="L44" s="690">
        <f>D44-J44</f>
        <v>2145426.610000003</v>
      </c>
      <c r="M44" s="742">
        <f>F44-J44</f>
        <v>1241658.740000002</v>
      </c>
      <c r="N44" s="274"/>
      <c r="O44" s="158"/>
    </row>
    <row r="45" spans="1:15" s="268" customFormat="1" ht="18" customHeight="1">
      <c r="A45" s="1049" t="s">
        <v>380</v>
      </c>
      <c r="B45" s="720"/>
      <c r="C45" s="697">
        <v>99966734</v>
      </c>
      <c r="D45" s="681">
        <v>31104453.22</v>
      </c>
      <c r="E45" s="189">
        <f>F45-'[19]Anexo 2 _ DP FUNC'!F45</f>
        <v>0</v>
      </c>
      <c r="F45" s="732">
        <v>0</v>
      </c>
      <c r="G45" s="1208">
        <f>F45/F126*100</f>
        <v>0</v>
      </c>
      <c r="H45" s="671">
        <f>D45-F45</f>
        <v>31104453.22</v>
      </c>
      <c r="I45" s="740">
        <f>J45-'[19]Anexo 2 _ DP FUNC'!J45</f>
        <v>0</v>
      </c>
      <c r="J45" s="740">
        <v>0</v>
      </c>
      <c r="K45" s="1208">
        <f>J45/J126*100</f>
        <v>0</v>
      </c>
      <c r="L45" s="672">
        <f>D45-J45</f>
        <v>31104453.22</v>
      </c>
      <c r="M45" s="738">
        <f>F45-J45</f>
        <v>0</v>
      </c>
      <c r="N45" s="274"/>
      <c r="O45" s="158"/>
    </row>
    <row r="46" spans="1:15" s="619" customFormat="1" ht="18" customHeight="1">
      <c r="A46" s="1053" t="s">
        <v>91</v>
      </c>
      <c r="B46" s="1054"/>
      <c r="C46" s="668">
        <f>SUM(C47:C56)</f>
        <v>943753959.4000001</v>
      </c>
      <c r="D46" s="668">
        <f>SUM(D47:D56)</f>
        <v>1066785473.2899998</v>
      </c>
      <c r="E46" s="699">
        <f>SUM(E47:E56)</f>
        <v>2280308.9499999676</v>
      </c>
      <c r="F46" s="694">
        <f>SUM(F47:F56)</f>
        <v>974613138.03</v>
      </c>
      <c r="G46" s="1207">
        <f>F46/F126*100</f>
        <v>27.662185362998553</v>
      </c>
      <c r="H46" s="695">
        <f>SUM(H47:H56)</f>
        <v>92172335.26</v>
      </c>
      <c r="I46" s="700">
        <f>SUM(I47:I56)</f>
        <v>184695460.41000003</v>
      </c>
      <c r="J46" s="617">
        <f>SUM(J47:J56)</f>
        <v>909216117.9900001</v>
      </c>
      <c r="K46" s="1207">
        <f>J46/J126*100</f>
        <v>27.798678665100446</v>
      </c>
      <c r="L46" s="694">
        <f>SUM(L47:L56)</f>
        <v>157569355.3</v>
      </c>
      <c r="M46" s="689">
        <f>SUM(M47:M56)</f>
        <v>65397020.03999998</v>
      </c>
      <c r="N46" s="620"/>
      <c r="O46" s="618"/>
    </row>
    <row r="47" spans="1:15" s="268" customFormat="1" ht="18" customHeight="1">
      <c r="A47" s="1618" t="s">
        <v>76</v>
      </c>
      <c r="B47" s="1627"/>
      <c r="C47" s="655">
        <v>128000</v>
      </c>
      <c r="D47" s="655">
        <v>120670.57</v>
      </c>
      <c r="E47" s="1518">
        <f>F47-'[19]Anexo 2 _ DP FUNC'!F47</f>
        <v>-399.929999999993</v>
      </c>
      <c r="F47" s="104">
        <v>116042.47</v>
      </c>
      <c r="G47" s="1207">
        <f>F47/F126*100</f>
        <v>0.003293602548400482</v>
      </c>
      <c r="H47" s="657">
        <f aca="true" t="shared" si="6" ref="H47:H56">D47-F47</f>
        <v>4628.100000000006</v>
      </c>
      <c r="I47" s="109">
        <f>J47-'[19]Anexo 2 _ DP FUNC'!J47</f>
        <v>16936.699999999997</v>
      </c>
      <c r="J47" s="109">
        <v>98384.9</v>
      </c>
      <c r="K47" s="1207">
        <f>J47/J126*100</f>
        <v>0.003008052944160544</v>
      </c>
      <c r="L47" s="655">
        <f aca="true" t="shared" si="7" ref="L47:L56">D47-J47</f>
        <v>22285.670000000013</v>
      </c>
      <c r="M47" s="742">
        <f>F47-J47</f>
        <v>17657.570000000007</v>
      </c>
      <c r="N47" s="274"/>
      <c r="O47" s="158"/>
    </row>
    <row r="48" spans="1:15" s="680" customFormat="1" ht="18" customHeight="1">
      <c r="A48" s="1055" t="s">
        <v>71</v>
      </c>
      <c r="B48" s="1056"/>
      <c r="C48" s="675">
        <v>257225310.72</v>
      </c>
      <c r="D48" s="701">
        <v>246138980.84</v>
      </c>
      <c r="E48" s="1158">
        <f>F48-'[19]Anexo 2 _ DP FUNC'!F48</f>
        <v>-8908462.190000027</v>
      </c>
      <c r="F48" s="105">
        <v>244331416.64</v>
      </c>
      <c r="G48" s="1207">
        <f>F48/F126*100</f>
        <v>6.934793584622974</v>
      </c>
      <c r="H48" s="657">
        <f t="shared" si="6"/>
        <v>1807564.2000000179</v>
      </c>
      <c r="I48" s="109">
        <f>J48-'[19]Anexo 2 _ DP FUNC'!J48</f>
        <v>47003001.26999998</v>
      </c>
      <c r="J48" s="109">
        <v>241279311.51</v>
      </c>
      <c r="K48" s="1207">
        <f>J48/J126*100</f>
        <v>7.376954627719138</v>
      </c>
      <c r="L48" s="655">
        <f t="shared" si="7"/>
        <v>4859669.330000013</v>
      </c>
      <c r="M48" s="742">
        <f>F48-J48</f>
        <v>3052105.129999995</v>
      </c>
      <c r="N48" s="678"/>
      <c r="O48" s="679"/>
    </row>
    <row r="49" spans="1:15" s="268" customFormat="1" ht="18" customHeight="1">
      <c r="A49" s="1046" t="s">
        <v>80</v>
      </c>
      <c r="B49" s="702"/>
      <c r="C49" s="655"/>
      <c r="D49" s="655"/>
      <c r="E49" s="104"/>
      <c r="F49" s="104"/>
      <c r="G49" s="1207"/>
      <c r="H49" s="657"/>
      <c r="I49" s="109"/>
      <c r="J49" s="109"/>
      <c r="K49" s="1207"/>
      <c r="L49" s="655"/>
      <c r="M49" s="742"/>
      <c r="N49" s="274"/>
      <c r="O49" s="158"/>
    </row>
    <row r="50" spans="1:15" s="268" customFormat="1" ht="18" customHeight="1">
      <c r="A50" s="1046" t="s">
        <v>89</v>
      </c>
      <c r="B50" s="702"/>
      <c r="C50" s="655">
        <v>16000000</v>
      </c>
      <c r="D50" s="655">
        <v>13350000</v>
      </c>
      <c r="E50" s="104">
        <f>F50-'[19]Anexo 2 _ DP FUNC'!F50</f>
        <v>-1760000</v>
      </c>
      <c r="F50" s="104">
        <v>13350000</v>
      </c>
      <c r="G50" s="1207">
        <f>F50/F126*100</f>
        <v>0.37890949771360805</v>
      </c>
      <c r="H50" s="657">
        <f t="shared" si="6"/>
        <v>0</v>
      </c>
      <c r="I50" s="109">
        <f>J50-'[19]Anexo 2 _ DP FUNC'!J50</f>
        <v>3789862.6899999995</v>
      </c>
      <c r="J50" s="109">
        <v>12496654.78</v>
      </c>
      <c r="K50" s="1207">
        <f>J50/J126*100</f>
        <v>0.38207691630663787</v>
      </c>
      <c r="L50" s="655">
        <f t="shared" si="7"/>
        <v>853345.2200000007</v>
      </c>
      <c r="M50" s="742">
        <f aca="true" t="shared" si="8" ref="M50:M56">F50-J50</f>
        <v>853345.2200000007</v>
      </c>
      <c r="N50" s="274"/>
      <c r="O50" s="158"/>
    </row>
    <row r="51" spans="1:15" s="268" customFormat="1" ht="18" customHeight="1">
      <c r="A51" s="1046" t="s">
        <v>658</v>
      </c>
      <c r="B51" s="702"/>
      <c r="C51" s="655">
        <v>90854481.71</v>
      </c>
      <c r="D51" s="655">
        <v>83217184.64</v>
      </c>
      <c r="E51" s="104">
        <f>F51-'[19]Anexo 2 _ DP FUNC'!F51</f>
        <v>2782519.160000004</v>
      </c>
      <c r="F51" s="104">
        <v>69120468.73</v>
      </c>
      <c r="G51" s="1207">
        <f>F51/F126*100</f>
        <v>1.9618278717762887</v>
      </c>
      <c r="H51" s="657">
        <f t="shared" si="6"/>
        <v>14096715.909999996</v>
      </c>
      <c r="I51" s="109">
        <f>J51-'[19]Anexo 2 _ DP FUNC'!J51</f>
        <v>14014673.449999996</v>
      </c>
      <c r="J51" s="109">
        <v>64865075.69</v>
      </c>
      <c r="K51" s="1207">
        <f>J51/J126*100</f>
        <v>1.9832065886381045</v>
      </c>
      <c r="L51" s="655">
        <f t="shared" si="7"/>
        <v>18352108.950000003</v>
      </c>
      <c r="M51" s="742">
        <f t="shared" si="8"/>
        <v>4255393.040000007</v>
      </c>
      <c r="N51" s="274"/>
      <c r="O51" s="158"/>
    </row>
    <row r="52" spans="1:15" s="268" customFormat="1" ht="18" customHeight="1">
      <c r="A52" s="1626" t="s">
        <v>742</v>
      </c>
      <c r="B52" s="1627"/>
      <c r="C52" s="655">
        <v>531264423.16</v>
      </c>
      <c r="D52" s="655">
        <v>686159480.26</v>
      </c>
      <c r="E52" s="104">
        <f>F52-'[19]Anexo 2 _ DP FUNC'!F52</f>
        <v>10238804.25999999</v>
      </c>
      <c r="F52" s="104">
        <v>619492802.62</v>
      </c>
      <c r="G52" s="1207">
        <f>F52/F126*100</f>
        <v>17.582899376624685</v>
      </c>
      <c r="H52" s="657">
        <f t="shared" si="6"/>
        <v>66666677.639999986</v>
      </c>
      <c r="I52" s="109">
        <f>J52-'[19]Anexo 2 _ DP FUNC'!J52</f>
        <v>114462520.28000003</v>
      </c>
      <c r="J52" s="109">
        <v>563555407.6</v>
      </c>
      <c r="K52" s="1207">
        <f>J52/J126*100</f>
        <v>17.230332124429417</v>
      </c>
      <c r="L52" s="655">
        <f t="shared" si="7"/>
        <v>122604072.65999997</v>
      </c>
      <c r="M52" s="742">
        <f t="shared" si="8"/>
        <v>55937395.01999998</v>
      </c>
      <c r="N52" s="274"/>
      <c r="O52" s="158"/>
    </row>
    <row r="53" spans="1:15" s="268" customFormat="1" ht="18" customHeight="1">
      <c r="A53" s="1626" t="s">
        <v>272</v>
      </c>
      <c r="B53" s="1627"/>
      <c r="C53" s="655">
        <v>22920562.24</v>
      </c>
      <c r="D53" s="655">
        <v>5381327.24</v>
      </c>
      <c r="E53" s="104">
        <f>F53-'[19]Anexo 2 _ DP FUNC'!F53</f>
        <v>-884019.6400000001</v>
      </c>
      <c r="F53" s="104">
        <v>3248073.56</v>
      </c>
      <c r="G53" s="1207">
        <f>F53/F126*100</f>
        <v>0.09218920757726223</v>
      </c>
      <c r="H53" s="657">
        <f t="shared" si="6"/>
        <v>2133253.68</v>
      </c>
      <c r="I53" s="109">
        <f>J53-'[19]Anexo 2 _ DP FUNC'!J53</f>
        <v>429571.3000000003</v>
      </c>
      <c r="J53" s="109">
        <v>2762513.22</v>
      </c>
      <c r="K53" s="1207">
        <f>J53/J126*100</f>
        <v>0.08446200610767939</v>
      </c>
      <c r="L53" s="655">
        <f t="shared" si="7"/>
        <v>2618814.02</v>
      </c>
      <c r="M53" s="742">
        <f t="shared" si="8"/>
        <v>485560.33999999985</v>
      </c>
      <c r="N53" s="274"/>
      <c r="O53" s="158"/>
    </row>
    <row r="54" spans="1:15" s="268" customFormat="1" ht="18" customHeight="1">
      <c r="A54" s="1626" t="s">
        <v>92</v>
      </c>
      <c r="B54" s="1627"/>
      <c r="C54" s="655">
        <v>1439627</v>
      </c>
      <c r="D54" s="655">
        <v>1240249.06</v>
      </c>
      <c r="E54" s="104">
        <f>F54-'[19]Anexo 2 _ DP FUNC'!F54</f>
        <v>370169.99</v>
      </c>
      <c r="F54" s="104">
        <v>1198114.05</v>
      </c>
      <c r="G54" s="1207">
        <f>F54/F126*100</f>
        <v>0.03400575227633833</v>
      </c>
      <c r="H54" s="657">
        <f t="shared" si="6"/>
        <v>42135.01000000001</v>
      </c>
      <c r="I54" s="109">
        <f>J54-'[19]Anexo 2 _ DP FUNC'!J54</f>
        <v>204529.59999999998</v>
      </c>
      <c r="J54" s="109">
        <v>843870.45</v>
      </c>
      <c r="K54" s="1207">
        <f>J54/J126*100</f>
        <v>0.02580077828622668</v>
      </c>
      <c r="L54" s="655">
        <f t="shared" si="7"/>
        <v>396378.6100000001</v>
      </c>
      <c r="M54" s="742">
        <f t="shared" si="8"/>
        <v>354243.6000000001</v>
      </c>
      <c r="N54" s="274"/>
      <c r="O54" s="158"/>
    </row>
    <row r="55" spans="1:15" s="268" customFormat="1" ht="18" customHeight="1">
      <c r="A55" s="1046" t="s">
        <v>93</v>
      </c>
      <c r="B55" s="702"/>
      <c r="C55" s="655">
        <v>23147285.96</v>
      </c>
      <c r="D55" s="655">
        <v>31172300.68</v>
      </c>
      <c r="E55" s="104">
        <f>F55-'[19]Anexo 2 _ DP FUNC'!F55</f>
        <v>441697.30000000075</v>
      </c>
      <c r="F55" s="104">
        <v>23750939.96</v>
      </c>
      <c r="G55" s="1207">
        <f>F55/F126*100</f>
        <v>0.6741166090239448</v>
      </c>
      <c r="H55" s="657">
        <f t="shared" si="6"/>
        <v>7421360.719999999</v>
      </c>
      <c r="I55" s="109">
        <f>J55-'[19]Anexo 2 _ DP FUNC'!J55</f>
        <v>4774365.120000001</v>
      </c>
      <c r="J55" s="109">
        <v>23309619.84</v>
      </c>
      <c r="K55" s="1207">
        <f>J55/J126*100</f>
        <v>0.7126761381774543</v>
      </c>
      <c r="L55" s="655">
        <f t="shared" si="7"/>
        <v>7862680.84</v>
      </c>
      <c r="M55" s="742">
        <f t="shared" si="8"/>
        <v>441320.12000000104</v>
      </c>
      <c r="N55" s="274"/>
      <c r="O55" s="158"/>
    </row>
    <row r="56" spans="1:15" s="268" customFormat="1" ht="18" customHeight="1">
      <c r="A56" s="1047" t="s">
        <v>107</v>
      </c>
      <c r="B56" s="696"/>
      <c r="C56" s="663">
        <v>774268.61</v>
      </c>
      <c r="D56" s="663">
        <v>5280</v>
      </c>
      <c r="E56" s="104">
        <f>F56-'[19]Anexo 2 _ DP FUNC'!F56</f>
        <v>0</v>
      </c>
      <c r="F56" s="104">
        <v>5280</v>
      </c>
      <c r="G56" s="1208">
        <f>F56/F126*100</f>
        <v>0.00014986083505077533</v>
      </c>
      <c r="H56" s="657">
        <f t="shared" si="6"/>
        <v>0</v>
      </c>
      <c r="I56" s="109">
        <f>J56-'[19]Anexo 2 _ DP FUNC'!J56</f>
        <v>0</v>
      </c>
      <c r="J56" s="109">
        <v>5280</v>
      </c>
      <c r="K56" s="1208">
        <f>J56/J126*100</f>
        <v>0.00016143249162389425</v>
      </c>
      <c r="L56" s="655">
        <f t="shared" si="7"/>
        <v>0</v>
      </c>
      <c r="M56" s="742">
        <f t="shared" si="8"/>
        <v>0</v>
      </c>
      <c r="N56" s="274"/>
      <c r="O56" s="158"/>
    </row>
    <row r="57" spans="1:15" s="619" customFormat="1" ht="18" customHeight="1">
      <c r="A57" s="1632" t="s">
        <v>94</v>
      </c>
      <c r="B57" s="1631"/>
      <c r="C57" s="650">
        <f aca="true" t="shared" si="9" ref="C57:J57">C61+C60+C58+C59</f>
        <v>238600</v>
      </c>
      <c r="D57" s="650">
        <f t="shared" si="9"/>
        <v>96766.63</v>
      </c>
      <c r="E57" s="703">
        <f t="shared" si="9"/>
        <v>-89708.37</v>
      </c>
      <c r="F57" s="704">
        <f t="shared" si="9"/>
        <v>16766.63</v>
      </c>
      <c r="G57" s="1206">
        <f>F57/F126*100</f>
        <v>0.00047588279787639793</v>
      </c>
      <c r="H57" s="705">
        <f t="shared" si="9"/>
        <v>80000</v>
      </c>
      <c r="I57" s="706">
        <f>I61+I60+I58+I59</f>
        <v>-833.369999999999</v>
      </c>
      <c r="J57" s="653">
        <f t="shared" si="9"/>
        <v>16766.63</v>
      </c>
      <c r="K57" s="1206">
        <f>J57/J126*100</f>
        <v>0.0005126285714083209</v>
      </c>
      <c r="L57" s="654">
        <f>L58+L59+L60+L61</f>
        <v>80000</v>
      </c>
      <c r="M57" s="654">
        <f>M58+M59+M60+M61</f>
        <v>0</v>
      </c>
      <c r="N57" s="620"/>
      <c r="O57" s="618"/>
    </row>
    <row r="58" spans="1:15" s="619" customFormat="1" ht="18" customHeight="1">
      <c r="A58" s="1626" t="s">
        <v>722</v>
      </c>
      <c r="B58" s="1627"/>
      <c r="C58" s="655">
        <v>5000</v>
      </c>
      <c r="D58" s="655">
        <v>0</v>
      </c>
      <c r="E58" s="104">
        <f>F58-'[19]Anexo 2 _ DP FUNC'!F58</f>
        <v>0</v>
      </c>
      <c r="F58" s="656"/>
      <c r="G58" s="1207">
        <f>F58/F126*100</f>
        <v>0</v>
      </c>
      <c r="H58" s="657">
        <f>D58-F58</f>
        <v>0</v>
      </c>
      <c r="I58" s="109">
        <f>J58-'[19]Anexo 2 _ DP FUNC'!J58</f>
        <v>0</v>
      </c>
      <c r="J58" s="658"/>
      <c r="K58" s="1207">
        <f>J58/J126*100</f>
        <v>0</v>
      </c>
      <c r="L58" s="655">
        <f>D58-J58</f>
        <v>0</v>
      </c>
      <c r="M58" s="742">
        <f>F58-J58</f>
        <v>0</v>
      </c>
      <c r="N58" s="620"/>
      <c r="O58" s="618"/>
    </row>
    <row r="59" spans="1:15" s="619" customFormat="1" ht="18" customHeight="1">
      <c r="A59" s="1626" t="s">
        <v>95</v>
      </c>
      <c r="B59" s="1627"/>
      <c r="C59" s="655">
        <v>233600</v>
      </c>
      <c r="D59" s="655">
        <v>96766.63</v>
      </c>
      <c r="E59" s="104">
        <f>F59-'[19]Anexo 2 _ DP FUNC'!F59</f>
        <v>-89708.37</v>
      </c>
      <c r="F59" s="104">
        <v>16766.63</v>
      </c>
      <c r="G59" s="1207">
        <f>F59/F126*100</f>
        <v>0.00047588279787639793</v>
      </c>
      <c r="H59" s="657">
        <f>D59-F59</f>
        <v>80000</v>
      </c>
      <c r="I59" s="109">
        <f>J59-'[19]Anexo 2 _ DP FUNC'!J59</f>
        <v>-833.369999999999</v>
      </c>
      <c r="J59" s="658">
        <v>16766.63</v>
      </c>
      <c r="K59" s="1207">
        <f>J59/J126*100</f>
        <v>0.0005126285714083209</v>
      </c>
      <c r="L59" s="655">
        <f>D59-J59</f>
        <v>80000</v>
      </c>
      <c r="M59" s="742">
        <f>F59-J59</f>
        <v>0</v>
      </c>
      <c r="N59" s="620"/>
      <c r="O59" s="618"/>
    </row>
    <row r="60" spans="1:15" s="268" customFormat="1" ht="18" customHeight="1">
      <c r="A60" s="1626" t="s">
        <v>96</v>
      </c>
      <c r="B60" s="1627"/>
      <c r="C60" s="655"/>
      <c r="D60" s="655"/>
      <c r="E60" s="104">
        <f>F60-'[17]Anexo 2 _ DP FUNC'!F60</f>
        <v>0</v>
      </c>
      <c r="F60" s="677"/>
      <c r="G60" s="1207"/>
      <c r="H60" s="657"/>
      <c r="I60" s="109"/>
      <c r="J60" s="674"/>
      <c r="K60" s="1207"/>
      <c r="L60" s="655"/>
      <c r="M60" s="742"/>
      <c r="N60" s="274"/>
      <c r="O60" s="158"/>
    </row>
    <row r="61" spans="1:15" s="268" customFormat="1" ht="18" customHeight="1">
      <c r="A61" s="1614" t="s">
        <v>97</v>
      </c>
      <c r="B61" s="1615"/>
      <c r="C61" s="655"/>
      <c r="D61" s="663"/>
      <c r="E61" s="104"/>
      <c r="F61" s="691"/>
      <c r="G61" s="1208"/>
      <c r="H61" s="671"/>
      <c r="I61" s="109"/>
      <c r="J61" s="241"/>
      <c r="K61" s="1208"/>
      <c r="L61" s="672"/>
      <c r="M61" s="742"/>
      <c r="N61" s="274"/>
      <c r="O61" s="255"/>
    </row>
    <row r="62" spans="1:14" s="618" customFormat="1" ht="18" customHeight="1">
      <c r="A62" s="1616" t="s">
        <v>98</v>
      </c>
      <c r="B62" s="1631"/>
      <c r="C62" s="707">
        <f aca="true" t="shared" si="10" ref="C62:L62">SUM(C63:C69)</f>
        <v>649783571.4999999</v>
      </c>
      <c r="D62" s="708">
        <f t="shared" si="10"/>
        <v>729481838.5500001</v>
      </c>
      <c r="E62" s="709">
        <f>SUM(E63:E69)</f>
        <v>77435375.74999999</v>
      </c>
      <c r="F62" s="710">
        <f t="shared" si="10"/>
        <v>687355505.4499999</v>
      </c>
      <c r="G62" s="1206">
        <f>F62/F126*100</f>
        <v>19.509028413538775</v>
      </c>
      <c r="H62" s="711">
        <f t="shared" si="10"/>
        <v>42126333.09999998</v>
      </c>
      <c r="I62" s="711">
        <f>SUM(I63:I69)</f>
        <v>168780089.27</v>
      </c>
      <c r="J62" s="712">
        <f t="shared" si="10"/>
        <v>616322885.99</v>
      </c>
      <c r="K62" s="1206">
        <f>J62/J126*100</f>
        <v>18.843662714052083</v>
      </c>
      <c r="L62" s="710">
        <f t="shared" si="10"/>
        <v>113158952.55999997</v>
      </c>
      <c r="M62" s="1059">
        <f>SUM(M63:M69)</f>
        <v>71032619.46</v>
      </c>
      <c r="N62" s="620"/>
    </row>
    <row r="63" spans="1:14" s="158" customFormat="1" ht="18" customHeight="1">
      <c r="A63" s="1046" t="s">
        <v>71</v>
      </c>
      <c r="B63" s="698"/>
      <c r="C63" s="713"/>
      <c r="D63" s="714"/>
      <c r="E63" s="104"/>
      <c r="F63" s="656"/>
      <c r="G63" s="1207"/>
      <c r="H63" s="657"/>
      <c r="I63" s="109"/>
      <c r="J63" s="658"/>
      <c r="K63" s="1207"/>
      <c r="L63" s="655"/>
      <c r="M63" s="742"/>
      <c r="N63" s="274"/>
    </row>
    <row r="64" spans="1:14" s="158" customFormat="1" ht="18" customHeight="1">
      <c r="A64" s="1618" t="s">
        <v>89</v>
      </c>
      <c r="B64" s="1627"/>
      <c r="C64" s="713"/>
      <c r="D64" s="714"/>
      <c r="E64" s="104"/>
      <c r="F64" s="715"/>
      <c r="G64" s="1207"/>
      <c r="H64" s="657"/>
      <c r="I64" s="109"/>
      <c r="J64" s="716"/>
      <c r="K64" s="1207"/>
      <c r="L64" s="655"/>
      <c r="M64" s="742"/>
      <c r="N64" s="274"/>
    </row>
    <row r="65" spans="1:14" s="158" customFormat="1" ht="18" customHeight="1">
      <c r="A65" s="1618" t="s">
        <v>99</v>
      </c>
      <c r="B65" s="1627"/>
      <c r="C65" s="655">
        <v>424019753.84</v>
      </c>
      <c r="D65" s="241">
        <v>493596145.08</v>
      </c>
      <c r="E65" s="104">
        <f>F65-'[19]Anexo 2 _ DP FUNC'!F65</f>
        <v>56199602.06</v>
      </c>
      <c r="F65" s="104">
        <v>477754371.86</v>
      </c>
      <c r="G65" s="1207">
        <f>F65/F126*100</f>
        <v>13.559975211382241</v>
      </c>
      <c r="H65" s="657">
        <f>D65-F65</f>
        <v>15841773.219999969</v>
      </c>
      <c r="I65" s="109">
        <f>J65-'[19]Anexo 2 _ DP FUNC'!J65</f>
        <v>105252766.69999999</v>
      </c>
      <c r="J65" s="109">
        <v>431657928</v>
      </c>
      <c r="K65" s="1207">
        <f>J65/J126*100</f>
        <v>13.197654326940821</v>
      </c>
      <c r="L65" s="655">
        <f>D65-J65</f>
        <v>61938217.07999998</v>
      </c>
      <c r="M65" s="742">
        <f>F65-J65</f>
        <v>46096443.860000014</v>
      </c>
      <c r="N65" s="274"/>
    </row>
    <row r="66" spans="1:14" s="158" customFormat="1" ht="18" customHeight="1">
      <c r="A66" s="1618" t="s">
        <v>100</v>
      </c>
      <c r="B66" s="1627"/>
      <c r="C66" s="655">
        <v>191511596.5</v>
      </c>
      <c r="D66" s="241">
        <v>210007853.9</v>
      </c>
      <c r="E66" s="104">
        <f>F66-'[19]Anexo 2 _ DP FUNC'!F66</f>
        <v>22511939.329999983</v>
      </c>
      <c r="F66" s="656">
        <v>191117771.6</v>
      </c>
      <c r="G66" s="1207">
        <f>F66/F126*100</f>
        <v>5.424444857011241</v>
      </c>
      <c r="H66" s="657">
        <f>D66-F66</f>
        <v>18890082.300000012</v>
      </c>
      <c r="I66" s="109">
        <f>J66-'[19]Anexo 2 _ DP FUNC'!J66</f>
        <v>57733216.72000001</v>
      </c>
      <c r="J66" s="109">
        <v>166651862.02</v>
      </c>
      <c r="K66" s="1207">
        <f>J66/J126*100</f>
        <v>5.095269946903415</v>
      </c>
      <c r="L66" s="655">
        <f>D66-J66</f>
        <v>43355991.879999995</v>
      </c>
      <c r="M66" s="742">
        <f>F66-J66</f>
        <v>24465909.579999983</v>
      </c>
      <c r="N66" s="274"/>
    </row>
    <row r="67" spans="1:14" s="158" customFormat="1" ht="18" customHeight="1">
      <c r="A67" s="1618" t="s">
        <v>101</v>
      </c>
      <c r="B67" s="1627"/>
      <c r="C67" s="655">
        <v>20750982.29</v>
      </c>
      <c r="D67" s="241">
        <v>10998254.59</v>
      </c>
      <c r="E67" s="104">
        <f>F67-'[19]Anexo 2 _ DP FUNC'!F67</f>
        <v>-975913.8700000001</v>
      </c>
      <c r="F67" s="104">
        <v>7131548.56</v>
      </c>
      <c r="G67" s="1207">
        <f>F67/F126*100</f>
        <v>0.20241284515279434</v>
      </c>
      <c r="H67" s="657">
        <f>D67-F67</f>
        <v>3866706.0300000003</v>
      </c>
      <c r="I67" s="109">
        <f>J67-'[19]Anexo 2 _ DP FUNC'!J67</f>
        <v>1598639.4499999993</v>
      </c>
      <c r="J67" s="109">
        <v>7056442.35</v>
      </c>
      <c r="K67" s="1207">
        <f>J67/J126*100</f>
        <v>0.2157460360910734</v>
      </c>
      <c r="L67" s="655">
        <f>D67-J67</f>
        <v>3941812.24</v>
      </c>
      <c r="M67" s="742">
        <f>F67-J67</f>
        <v>75106.20999999996</v>
      </c>
      <c r="N67" s="274"/>
    </row>
    <row r="68" spans="1:13" s="158" customFormat="1" ht="15" customHeight="1">
      <c r="A68" s="1618" t="s">
        <v>102</v>
      </c>
      <c r="B68" s="1627"/>
      <c r="C68" s="655">
        <v>13501238.87</v>
      </c>
      <c r="D68" s="241">
        <v>14879584.98</v>
      </c>
      <c r="E68" s="104">
        <f>F68-'[19]Anexo 2 _ DP FUNC'!F68</f>
        <v>-300251.76999999955</v>
      </c>
      <c r="F68" s="104">
        <v>11351813.43</v>
      </c>
      <c r="G68" s="1207">
        <f>F68/F126*100</f>
        <v>0.32219549999250113</v>
      </c>
      <c r="H68" s="657">
        <f>D68-F68</f>
        <v>3527771.5500000007</v>
      </c>
      <c r="I68" s="109">
        <f>J68-'[19]Anexo 2 _ DP FUNC'!J68</f>
        <v>4195466.399999999</v>
      </c>
      <c r="J68" s="109">
        <v>10956653.62</v>
      </c>
      <c r="K68" s="1207">
        <f>J68/J126*100</f>
        <v>0.33499240411677284</v>
      </c>
      <c r="L68" s="655">
        <f>D68-J68</f>
        <v>3922931.3600000013</v>
      </c>
      <c r="M68" s="742">
        <f>F68-J68</f>
        <v>395159.8100000005</v>
      </c>
    </row>
    <row r="69" spans="1:14" s="158" customFormat="1" ht="18" customHeight="1">
      <c r="A69" s="1620" t="s">
        <v>659</v>
      </c>
      <c r="B69" s="1615"/>
      <c r="C69" s="663"/>
      <c r="D69" s="717"/>
      <c r="E69" s="104"/>
      <c r="F69" s="691"/>
      <c r="G69" s="1208"/>
      <c r="H69" s="657"/>
      <c r="I69" s="109"/>
      <c r="J69" s="692"/>
      <c r="K69" s="1207"/>
      <c r="L69" s="672"/>
      <c r="M69" s="738"/>
      <c r="N69" s="274"/>
    </row>
    <row r="70" spans="1:14" s="618" customFormat="1" ht="18" customHeight="1">
      <c r="A70" s="1622" t="s">
        <v>103</v>
      </c>
      <c r="B70" s="1623"/>
      <c r="C70" s="668">
        <f aca="true" t="shared" si="11" ref="C70:H70">C73+C74+C71+C72</f>
        <v>68635190.69</v>
      </c>
      <c r="D70" s="668">
        <f t="shared" si="11"/>
        <v>76886622.36</v>
      </c>
      <c r="E70" s="718">
        <f t="shared" si="11"/>
        <v>20265028.020000003</v>
      </c>
      <c r="F70" s="685">
        <f t="shared" si="11"/>
        <v>66249304.36</v>
      </c>
      <c r="G70" s="1206">
        <f>F70/F126*100</f>
        <v>1.8803363774474564</v>
      </c>
      <c r="H70" s="686">
        <f t="shared" si="11"/>
        <v>10637318</v>
      </c>
      <c r="I70" s="686">
        <f>I73+I74+I71+I72</f>
        <v>26162393.45</v>
      </c>
      <c r="J70" s="688">
        <f>J71+J72+J73+J74</f>
        <v>57833440.55</v>
      </c>
      <c r="K70" s="1206">
        <f>J70/J126*100</f>
        <v>1.7682190165092537</v>
      </c>
      <c r="L70" s="689">
        <f>L71+L72+L73+L74</f>
        <v>19053181.810000002</v>
      </c>
      <c r="M70" s="689">
        <f>M71+M72+M73+M74</f>
        <v>8415863.810000002</v>
      </c>
      <c r="N70" s="620"/>
    </row>
    <row r="71" spans="1:15" s="268" customFormat="1" ht="18" customHeight="1">
      <c r="A71" s="1626" t="s">
        <v>71</v>
      </c>
      <c r="B71" s="1627"/>
      <c r="C71" s="655"/>
      <c r="D71" s="659"/>
      <c r="E71" s="104"/>
      <c r="F71" s="656"/>
      <c r="G71" s="1207"/>
      <c r="H71" s="657"/>
      <c r="I71" s="109"/>
      <c r="J71" s="690"/>
      <c r="K71" s="1207"/>
      <c r="L71" s="655"/>
      <c r="M71" s="742"/>
      <c r="N71" s="274"/>
      <c r="O71" s="158"/>
    </row>
    <row r="72" spans="1:15" s="268" customFormat="1" ht="18" customHeight="1">
      <c r="A72" s="1626" t="s">
        <v>97</v>
      </c>
      <c r="B72" s="1627"/>
      <c r="C72" s="655"/>
      <c r="D72" s="659"/>
      <c r="E72" s="104"/>
      <c r="F72" s="656"/>
      <c r="G72" s="1207"/>
      <c r="H72" s="657"/>
      <c r="I72" s="109"/>
      <c r="J72" s="690"/>
      <c r="K72" s="1207"/>
      <c r="L72" s="655"/>
      <c r="M72" s="742"/>
      <c r="N72" s="274"/>
      <c r="O72" s="158"/>
    </row>
    <row r="73" spans="1:15" s="268" customFormat="1" ht="18" customHeight="1">
      <c r="A73" s="1626" t="s">
        <v>104</v>
      </c>
      <c r="B73" s="1627"/>
      <c r="C73" s="655">
        <v>44862484.49</v>
      </c>
      <c r="D73" s="659">
        <v>54329250.7</v>
      </c>
      <c r="E73" s="104">
        <f>F73-'[19]Anexo 2 _ DP FUNC'!F73</f>
        <v>9309827.660000004</v>
      </c>
      <c r="F73" s="656">
        <v>44044758.92</v>
      </c>
      <c r="G73" s="1207">
        <f>F73/F126*100</f>
        <v>1.250110672606304</v>
      </c>
      <c r="H73" s="657">
        <f>D73-F73</f>
        <v>10284491.780000001</v>
      </c>
      <c r="I73" s="109">
        <f>J73-'[19]Anexo 2 _ DP FUNC'!J73</f>
        <v>15175745.55</v>
      </c>
      <c r="J73" s="109">
        <v>35675371.35</v>
      </c>
      <c r="K73" s="1207">
        <f>J73/J126*100</f>
        <v>1.0907507739845062</v>
      </c>
      <c r="L73" s="655">
        <f>D73-J73</f>
        <v>18653879.35</v>
      </c>
      <c r="M73" s="742">
        <f>F73-J73</f>
        <v>8369387.57</v>
      </c>
      <c r="N73" s="274"/>
      <c r="O73" s="158"/>
    </row>
    <row r="74" spans="1:15" s="268" customFormat="1" ht="18" customHeight="1">
      <c r="A74" s="1614" t="s">
        <v>105</v>
      </c>
      <c r="B74" s="1615"/>
      <c r="C74" s="663">
        <v>23772706.2</v>
      </c>
      <c r="D74" s="665">
        <v>22557371.66</v>
      </c>
      <c r="E74" s="104">
        <f>F74-'[19]Anexo 2 _ DP FUNC'!F74</f>
        <v>10955200.360000001</v>
      </c>
      <c r="F74" s="104">
        <v>22204545.44</v>
      </c>
      <c r="G74" s="1208">
        <f>F74/F126*100</f>
        <v>0.6302257048411526</v>
      </c>
      <c r="H74" s="657">
        <f>D74-F74</f>
        <v>352826.2199999988</v>
      </c>
      <c r="I74" s="109">
        <f>J74-'[19]Anexo 2 _ DP FUNC'!J74</f>
        <v>10986647.899999999</v>
      </c>
      <c r="J74" s="109">
        <v>22158069.2</v>
      </c>
      <c r="K74" s="1208">
        <f>J74/J126*100</f>
        <v>0.6774682425247479</v>
      </c>
      <c r="L74" s="655">
        <f>D74-J74</f>
        <v>399302.4600000009</v>
      </c>
      <c r="M74" s="742">
        <f>F74-J74</f>
        <v>46476.240000002086</v>
      </c>
      <c r="N74" s="274"/>
      <c r="O74" s="158"/>
    </row>
    <row r="75" spans="1:15" s="619" customFormat="1" ht="18" customHeight="1">
      <c r="A75" s="1622" t="s">
        <v>106</v>
      </c>
      <c r="B75" s="1623"/>
      <c r="C75" s="668">
        <f aca="true" t="shared" si="12" ref="C75:J75">C78+C77+C76</f>
        <v>16612370.4</v>
      </c>
      <c r="D75" s="668">
        <f t="shared" si="12"/>
        <v>25128557.939999998</v>
      </c>
      <c r="E75" s="718">
        <f t="shared" si="12"/>
        <v>5316056.399999998</v>
      </c>
      <c r="F75" s="685">
        <f t="shared" si="12"/>
        <v>23131167.919999998</v>
      </c>
      <c r="G75" s="1206">
        <f>F75/F126*100</f>
        <v>0.6565257841270654</v>
      </c>
      <c r="H75" s="686">
        <f t="shared" si="12"/>
        <v>1997390.0199999998</v>
      </c>
      <c r="I75" s="686">
        <f>I78+I77+I76</f>
        <v>6450287.78</v>
      </c>
      <c r="J75" s="719">
        <f t="shared" si="12"/>
        <v>23092316.580000002</v>
      </c>
      <c r="K75" s="1206">
        <f>J75/J126*100</f>
        <v>0.7060322353934023</v>
      </c>
      <c r="L75" s="654">
        <f>L76+L77+L78</f>
        <v>2036241.3599999975</v>
      </c>
      <c r="M75" s="654">
        <f>M76+M77+M78</f>
        <v>38851.339999997756</v>
      </c>
      <c r="N75" s="620"/>
      <c r="O75" s="618"/>
    </row>
    <row r="76" spans="1:15" s="268" customFormat="1" ht="18" customHeight="1">
      <c r="A76" s="1626" t="s">
        <v>71</v>
      </c>
      <c r="B76" s="1627"/>
      <c r="C76" s="659">
        <v>290500</v>
      </c>
      <c r="D76" s="659">
        <v>39015.34</v>
      </c>
      <c r="E76" s="104">
        <f>F76-'[19]Anexo 2 _ DP FUNC'!F76</f>
        <v>0</v>
      </c>
      <c r="F76" s="104">
        <v>0</v>
      </c>
      <c r="G76" s="1207">
        <f>F76/F126*100</f>
        <v>0</v>
      </c>
      <c r="H76" s="657">
        <f>D76-F76</f>
        <v>39015.34</v>
      </c>
      <c r="I76" s="109">
        <f>J76-'[19]Anexo 2 _ DP FUNC'!J76</f>
        <v>0</v>
      </c>
      <c r="J76" s="109">
        <v>0</v>
      </c>
      <c r="K76" s="1207">
        <f>J76/J126*100</f>
        <v>0</v>
      </c>
      <c r="L76" s="655">
        <f>D76-J76</f>
        <v>39015.34</v>
      </c>
      <c r="M76" s="742">
        <f>F76-J76</f>
        <v>0</v>
      </c>
      <c r="N76" s="274"/>
      <c r="O76" s="158"/>
    </row>
    <row r="77" spans="1:15" s="268" customFormat="1" ht="18" customHeight="1">
      <c r="A77" s="1046" t="s">
        <v>107</v>
      </c>
      <c r="B77" s="698"/>
      <c r="C77" s="655">
        <v>14435134.4</v>
      </c>
      <c r="D77" s="659">
        <v>24014652.72</v>
      </c>
      <c r="E77" s="104">
        <f>F77-'[19]Anexo 2 _ DP FUNC'!F77</f>
        <v>6024571.259999998</v>
      </c>
      <c r="F77" s="104">
        <v>22906178.04</v>
      </c>
      <c r="G77" s="1207">
        <f>F77/F126*100</f>
        <v>0.650139956230328</v>
      </c>
      <c r="H77" s="657">
        <f>D77-F77</f>
        <v>1108474.6799999997</v>
      </c>
      <c r="I77" s="109">
        <f>J77-'[19]Anexo 2 _ DP FUNC'!J77</f>
        <v>6433662.640000001</v>
      </c>
      <c r="J77" s="109">
        <v>22906171.44</v>
      </c>
      <c r="K77" s="1207">
        <f>J77/J126*100</f>
        <v>0.7003409714248647</v>
      </c>
      <c r="L77" s="655">
        <f>D77-J77</f>
        <v>1108481.2799999975</v>
      </c>
      <c r="M77" s="742">
        <f>F77-J77</f>
        <v>6.599999997764826</v>
      </c>
      <c r="N77" s="274"/>
      <c r="O77" s="158"/>
    </row>
    <row r="78" spans="1:15" s="268" customFormat="1" ht="18" customHeight="1">
      <c r="A78" s="1624" t="s">
        <v>371</v>
      </c>
      <c r="B78" s="1625"/>
      <c r="C78" s="697">
        <v>1886736</v>
      </c>
      <c r="D78" s="681">
        <v>1074889.88</v>
      </c>
      <c r="E78" s="189">
        <f>F78-'[19]Anexo 2 _ DP FUNC'!F78</f>
        <v>-708514.86</v>
      </c>
      <c r="F78" s="1057">
        <v>224989.88</v>
      </c>
      <c r="G78" s="1208">
        <f>F78/F126*100</f>
        <v>0.006385827896737449</v>
      </c>
      <c r="H78" s="671">
        <f>D78-F78</f>
        <v>849899.9999999999</v>
      </c>
      <c r="I78" s="740">
        <f>J78-'[19]Anexo 2 _ DP FUNC'!J78</f>
        <v>16625.140000000014</v>
      </c>
      <c r="J78" s="740">
        <v>186145.14</v>
      </c>
      <c r="K78" s="1208">
        <f>J78/J126*100</f>
        <v>0.005691263968537618</v>
      </c>
      <c r="L78" s="672">
        <f>D78-J78</f>
        <v>888744.7399999999</v>
      </c>
      <c r="M78" s="738">
        <f>F78-J78</f>
        <v>38844.73999999999</v>
      </c>
      <c r="N78" s="274"/>
      <c r="O78" s="158"/>
    </row>
    <row r="79" spans="1:15" s="619" customFormat="1" ht="18" customHeight="1">
      <c r="A79" s="1629" t="s">
        <v>108</v>
      </c>
      <c r="B79" s="1630"/>
      <c r="C79" s="723">
        <f>C80+C81+C82+C83+C84+C85+C86+C87</f>
        <v>195641614.82999998</v>
      </c>
      <c r="D79" s="721">
        <f>D80+D81+D82+D83+D84+D85+D86+D87</f>
        <v>448454002.91</v>
      </c>
      <c r="E79" s="721">
        <f>E80+E81+E82+E83+E84+E85+E86+E87</f>
        <v>54990962.83000005</v>
      </c>
      <c r="F79" s="721">
        <f>F80+F81+F82+F83+F84+F85+F86+F87</f>
        <v>397372156.01</v>
      </c>
      <c r="G79" s="1207">
        <f>F79/F126*100</f>
        <v>11.278508167724539</v>
      </c>
      <c r="H79" s="721">
        <f>H80+H81+H82+H83+H84+H85+H86+H87</f>
        <v>51081846.899999976</v>
      </c>
      <c r="I79" s="721">
        <f>I80+I81+I82+I83+I84+I85+I86+I87</f>
        <v>102413543.92000002</v>
      </c>
      <c r="J79" s="721">
        <f>J80+J81+J82+J83+J84+J85+J86+J87</f>
        <v>341506212.71</v>
      </c>
      <c r="K79" s="1207">
        <f>J79/J126*100</f>
        <v>10.441325534624038</v>
      </c>
      <c r="L79" s="721">
        <f>L80+L81+L82+L83+L84+L85+L86+L87</f>
        <v>106947790.19999999</v>
      </c>
      <c r="M79" s="721">
        <f>M80+M81+M82+M83+M84+M85+M86+M87</f>
        <v>55865943.300000004</v>
      </c>
      <c r="N79" s="620"/>
      <c r="O79" s="618"/>
    </row>
    <row r="80" spans="1:15" s="268" customFormat="1" ht="18" customHeight="1">
      <c r="A80" s="1626" t="s">
        <v>71</v>
      </c>
      <c r="B80" s="1628"/>
      <c r="C80" s="674">
        <v>1983734.13</v>
      </c>
      <c r="D80" s="655">
        <v>2575694.13</v>
      </c>
      <c r="E80" s="104">
        <f>F80-'[19]Anexo 2 _ DP FUNC'!F80</f>
        <v>177549.8700000001</v>
      </c>
      <c r="F80" s="104">
        <v>2379361.42</v>
      </c>
      <c r="G80" s="1207">
        <f>F80/F126*100</f>
        <v>0.06753278206227245</v>
      </c>
      <c r="H80" s="657">
        <f aca="true" t="shared" si="13" ref="H80:H87">D80-F80</f>
        <v>196332.70999999996</v>
      </c>
      <c r="I80" s="109">
        <f>J80-'[19]Anexo 2 _ DP FUNC'!J80</f>
        <v>605659.19</v>
      </c>
      <c r="J80" s="109">
        <v>2229108.81</v>
      </c>
      <c r="K80" s="1207">
        <f>J80/J126*100</f>
        <v>0.06815352070058217</v>
      </c>
      <c r="L80" s="655">
        <f>D80-J80</f>
        <v>346585.31999999983</v>
      </c>
      <c r="M80" s="742">
        <f>F80-J80</f>
        <v>150252.60999999987</v>
      </c>
      <c r="N80" s="274"/>
      <c r="O80" s="158"/>
    </row>
    <row r="81" spans="1:15" s="268" customFormat="1" ht="18" customHeight="1">
      <c r="A81" s="1626" t="s">
        <v>109</v>
      </c>
      <c r="B81" s="1628"/>
      <c r="C81" s="674">
        <v>9950000</v>
      </c>
      <c r="D81" s="655">
        <v>3178121.05</v>
      </c>
      <c r="E81" s="104">
        <f>F81-'[19]Anexo 2 _ DP FUNC'!F81</f>
        <v>614545.4400000004</v>
      </c>
      <c r="F81" s="104">
        <v>3112357.22</v>
      </c>
      <c r="G81" s="1207">
        <f>F81/F126*100</f>
        <v>0.08833720681164957</v>
      </c>
      <c r="H81" s="657">
        <f t="shared" si="13"/>
        <v>65763.82999999961</v>
      </c>
      <c r="I81" s="109">
        <f>J81-'[19]Anexo 2 _ DP FUNC'!J81</f>
        <v>853942.7200000002</v>
      </c>
      <c r="J81" s="109">
        <v>2902387.12</v>
      </c>
      <c r="K81" s="1207">
        <f>J81/J126*100</f>
        <v>0.08873855765884443</v>
      </c>
      <c r="L81" s="655">
        <f aca="true" t="shared" si="14" ref="L81:L87">D81-J81</f>
        <v>275733.9299999997</v>
      </c>
      <c r="M81" s="742">
        <f>F81-J81</f>
        <v>209970.1000000001</v>
      </c>
      <c r="N81" s="274"/>
      <c r="O81" s="158"/>
    </row>
    <row r="82" spans="1:15" s="268" customFormat="1" ht="18" customHeight="1">
      <c r="A82" s="1046" t="s">
        <v>660</v>
      </c>
      <c r="B82" s="1406"/>
      <c r="C82" s="674">
        <v>10000</v>
      </c>
      <c r="D82" s="655">
        <v>0</v>
      </c>
      <c r="E82" s="104">
        <f>F82-'[19]Anexo 2 _ DP FUNC'!F82</f>
        <v>0</v>
      </c>
      <c r="F82" s="104">
        <v>0</v>
      </c>
      <c r="G82" s="1207">
        <f>F82/F126*100</f>
        <v>0</v>
      </c>
      <c r="H82" s="657">
        <f t="shared" si="13"/>
        <v>0</v>
      </c>
      <c r="I82" s="109">
        <f>J82-'[19]Anexo 2 _ DP FUNC'!J82</f>
        <v>0</v>
      </c>
      <c r="J82" s="109">
        <v>0</v>
      </c>
      <c r="K82" s="1207">
        <f>J82/J126*100</f>
        <v>0</v>
      </c>
      <c r="L82" s="655">
        <f t="shared" si="14"/>
        <v>0</v>
      </c>
      <c r="M82" s="742">
        <f>F82-J82</f>
        <v>0</v>
      </c>
      <c r="N82" s="274"/>
      <c r="O82" s="158"/>
    </row>
    <row r="83" spans="1:15" s="268" customFormat="1" ht="18" customHeight="1">
      <c r="A83" s="1046" t="s">
        <v>110</v>
      </c>
      <c r="B83" s="1406"/>
      <c r="C83" s="674">
        <v>88911173.28</v>
      </c>
      <c r="D83" s="655">
        <v>348023480.31</v>
      </c>
      <c r="E83" s="104">
        <f>F83-'[19]Anexo 2 _ DP FUNC'!F83</f>
        <v>59582591.76000005</v>
      </c>
      <c r="F83" s="104">
        <v>328702887.72</v>
      </c>
      <c r="G83" s="1207">
        <f>F83/F126*100</f>
        <v>9.329486597977358</v>
      </c>
      <c r="H83" s="657">
        <f t="shared" si="13"/>
        <v>19320592.589999974</v>
      </c>
      <c r="I83" s="109">
        <f>J83-'[19]Anexo 2 _ DP FUNC'!J83</f>
        <v>91816779.77000001</v>
      </c>
      <c r="J83" s="109">
        <v>305349846.17</v>
      </c>
      <c r="K83" s="1207">
        <f>J83/J126*100</f>
        <v>9.335868652309834</v>
      </c>
      <c r="L83" s="655">
        <f t="shared" si="14"/>
        <v>42673634.139999986</v>
      </c>
      <c r="M83" s="742">
        <f>F83-J83</f>
        <v>23353041.550000012</v>
      </c>
      <c r="N83" s="274"/>
      <c r="O83" s="158"/>
    </row>
    <row r="84" spans="1:15" s="268" customFormat="1" ht="18" customHeight="1">
      <c r="A84" s="1046" t="s">
        <v>111</v>
      </c>
      <c r="B84" s="1406"/>
      <c r="C84" s="674">
        <v>88258252</v>
      </c>
      <c r="D84" s="655">
        <f>C84</f>
        <v>88258252</v>
      </c>
      <c r="E84" s="104">
        <f>F84-'[19]Anexo 2 _ DP FUNC'!F84</f>
        <v>-5444245.670000002</v>
      </c>
      <c r="F84" s="104">
        <v>62814005.44</v>
      </c>
      <c r="G84" s="1207">
        <f>F84/F126*100</f>
        <v>1.7828332022958984</v>
      </c>
      <c r="H84" s="657">
        <f t="shared" si="13"/>
        <v>25444246.560000002</v>
      </c>
      <c r="I84" s="109">
        <f>J84-'[19]Anexo 2 _ DP FUNC'!J84</f>
        <v>9076640.810000002</v>
      </c>
      <c r="J84" s="109">
        <v>30661326.44</v>
      </c>
      <c r="K84" s="1207">
        <f>J84/J126*100</f>
        <v>0.9374496825194673</v>
      </c>
      <c r="L84" s="655">
        <f t="shared" si="14"/>
        <v>57596925.56</v>
      </c>
      <c r="M84" s="742">
        <f>F84-J84</f>
        <v>32152678.999999996</v>
      </c>
      <c r="N84" s="274"/>
      <c r="O84" s="158"/>
    </row>
    <row r="85" spans="1:15" s="268" customFormat="1" ht="18" customHeight="1">
      <c r="A85" s="1046" t="s">
        <v>723</v>
      </c>
      <c r="B85" s="1406"/>
      <c r="C85" s="690"/>
      <c r="D85" s="669"/>
      <c r="E85" s="104"/>
      <c r="F85" s="1158"/>
      <c r="G85" s="1207"/>
      <c r="H85" s="657"/>
      <c r="I85" s="109"/>
      <c r="J85" s="109"/>
      <c r="K85" s="1207"/>
      <c r="L85" s="655"/>
      <c r="M85" s="742"/>
      <c r="N85" s="274"/>
      <c r="O85" s="158"/>
    </row>
    <row r="86" spans="1:15" s="268" customFormat="1" ht="18" customHeight="1">
      <c r="A86" s="1046" t="s">
        <v>115</v>
      </c>
      <c r="B86" s="1406"/>
      <c r="C86" s="690">
        <v>6463155.42</v>
      </c>
      <c r="D86" s="669">
        <v>6353155.42</v>
      </c>
      <c r="E86" s="104">
        <f>F86-'[19]Anexo 2 _ DP FUNC'!F86</f>
        <v>60521.42999999999</v>
      </c>
      <c r="F86" s="1158">
        <v>332394.21</v>
      </c>
      <c r="G86" s="1207">
        <f>F86/F126*100</f>
        <v>0.009434256416030828</v>
      </c>
      <c r="H86" s="657">
        <f t="shared" si="13"/>
        <v>6020761.21</v>
      </c>
      <c r="I86" s="109">
        <f>J86-'[19]Anexo 2 _ DP FUNC'!J86</f>
        <v>60521.42999999999</v>
      </c>
      <c r="J86" s="109">
        <v>332394.21</v>
      </c>
      <c r="K86" s="1207">
        <f>J86/J126*100</f>
        <v>0.010162732106374233</v>
      </c>
      <c r="L86" s="655">
        <f t="shared" si="14"/>
        <v>6020761.21</v>
      </c>
      <c r="M86" s="742">
        <f>F86-J86</f>
        <v>0</v>
      </c>
      <c r="N86" s="274"/>
      <c r="O86" s="158"/>
    </row>
    <row r="87" spans="1:15" s="268" customFormat="1" ht="18" customHeight="1">
      <c r="A87" s="1049" t="s">
        <v>724</v>
      </c>
      <c r="B87" s="1407"/>
      <c r="C87" s="1405">
        <v>65300</v>
      </c>
      <c r="D87" s="697">
        <f>C87</f>
        <v>65300</v>
      </c>
      <c r="E87" s="104">
        <f>F87-'[19]Anexo 2 _ DP FUNC'!F87</f>
        <v>0</v>
      </c>
      <c r="F87" s="104">
        <v>31150</v>
      </c>
      <c r="G87" s="1208">
        <f>F87/F126*100</f>
        <v>0.0008841221613317521</v>
      </c>
      <c r="H87" s="657">
        <f t="shared" si="13"/>
        <v>34150</v>
      </c>
      <c r="I87" s="109">
        <f>J87-'[19]Anexo 2 _ DP FUNC'!J87</f>
        <v>0</v>
      </c>
      <c r="J87" s="740">
        <v>31149.96</v>
      </c>
      <c r="K87" s="1208">
        <f>J87/J126*100</f>
        <v>0.000952389328936485</v>
      </c>
      <c r="L87" s="655">
        <f t="shared" si="14"/>
        <v>34150.04</v>
      </c>
      <c r="M87" s="738">
        <f>F87-J87</f>
        <v>0.040000000000873115</v>
      </c>
      <c r="N87" s="274"/>
      <c r="O87" s="158"/>
    </row>
    <row r="88" spans="1:15" s="619" customFormat="1" ht="18" customHeight="1">
      <c r="A88" s="1622" t="s">
        <v>112</v>
      </c>
      <c r="B88" s="1623"/>
      <c r="C88" s="722">
        <f aca="true" t="shared" si="15" ref="C88:L88">C89</f>
        <v>30450491</v>
      </c>
      <c r="D88" s="722">
        <f t="shared" si="15"/>
        <v>29676826.66</v>
      </c>
      <c r="E88" s="709">
        <f t="shared" si="15"/>
        <v>696449.4199999999</v>
      </c>
      <c r="F88" s="725">
        <f t="shared" si="15"/>
        <v>1601325.93</v>
      </c>
      <c r="G88" s="1206">
        <f>F88/F126*100</f>
        <v>0.04545000777618549</v>
      </c>
      <c r="H88" s="711">
        <f t="shared" si="15"/>
        <v>28075500.73</v>
      </c>
      <c r="I88" s="711">
        <f t="shared" si="15"/>
        <v>1349316.1099999999</v>
      </c>
      <c r="J88" s="723">
        <f t="shared" si="15"/>
        <v>1557743.2</v>
      </c>
      <c r="K88" s="1206">
        <f>J88/J126*100</f>
        <v>0.047626963273897385</v>
      </c>
      <c r="L88" s="726">
        <f t="shared" si="15"/>
        <v>28119083.46</v>
      </c>
      <c r="M88" s="724">
        <f>M89</f>
        <v>43582.72999999998</v>
      </c>
      <c r="N88" s="620"/>
      <c r="O88" s="618"/>
    </row>
    <row r="89" spans="1:15" s="268" customFormat="1" ht="18" customHeight="1">
      <c r="A89" s="1614" t="s">
        <v>113</v>
      </c>
      <c r="B89" s="1615"/>
      <c r="C89" s="663">
        <v>30450491</v>
      </c>
      <c r="D89" s="665">
        <v>29676826.66</v>
      </c>
      <c r="E89" s="104">
        <f>F89-'[19]Anexo 2 _ DP FUNC'!F89</f>
        <v>696449.4199999999</v>
      </c>
      <c r="F89" s="104">
        <v>1601325.93</v>
      </c>
      <c r="G89" s="1208">
        <f>F89/F126*100</f>
        <v>0.04545000777618549</v>
      </c>
      <c r="H89" s="657">
        <f>D89-F89</f>
        <v>28075500.73</v>
      </c>
      <c r="I89" s="109">
        <f>J89-'[19]Anexo 2 _ DP FUNC'!J89</f>
        <v>1349316.1099999999</v>
      </c>
      <c r="J89" s="658">
        <v>1557743.2</v>
      </c>
      <c r="K89" s="1208">
        <f>J89/J126*100</f>
        <v>0.047626963273897385</v>
      </c>
      <c r="L89" s="655">
        <f>D89-J89</f>
        <v>28119083.46</v>
      </c>
      <c r="M89" s="742">
        <f>F89-J89</f>
        <v>43582.72999999998</v>
      </c>
      <c r="N89" s="274"/>
      <c r="O89" s="158"/>
    </row>
    <row r="90" spans="1:15" s="619" customFormat="1" ht="18" customHeight="1">
      <c r="A90" s="1622" t="s">
        <v>114</v>
      </c>
      <c r="B90" s="1623"/>
      <c r="C90" s="707">
        <f aca="true" t="shared" si="16" ref="C90:J90">C92+C91</f>
        <v>187915140.43</v>
      </c>
      <c r="D90" s="727">
        <f t="shared" si="16"/>
        <v>293633731.85</v>
      </c>
      <c r="E90" s="709">
        <f t="shared" si="16"/>
        <v>14762471.11999999</v>
      </c>
      <c r="F90" s="728">
        <f t="shared" si="16"/>
        <v>289791628.65</v>
      </c>
      <c r="G90" s="1206">
        <f>F90/F126*100</f>
        <v>8.225078685646437</v>
      </c>
      <c r="H90" s="729">
        <f t="shared" si="16"/>
        <v>3842103.200000003</v>
      </c>
      <c r="I90" s="729">
        <f t="shared" si="16"/>
        <v>53311341.08999999</v>
      </c>
      <c r="J90" s="708">
        <f t="shared" si="16"/>
        <v>263857855.64999998</v>
      </c>
      <c r="K90" s="1206">
        <f>J90/J126*100</f>
        <v>8.067278612143431</v>
      </c>
      <c r="L90" s="730">
        <f>L91+L92</f>
        <v>29775876.200000003</v>
      </c>
      <c r="M90" s="730">
        <f>M91+M92</f>
        <v>25933773</v>
      </c>
      <c r="N90" s="620"/>
      <c r="O90" s="618"/>
    </row>
    <row r="91" spans="1:15" s="268" customFormat="1" ht="18" customHeight="1">
      <c r="A91" s="1626" t="s">
        <v>111</v>
      </c>
      <c r="B91" s="1627"/>
      <c r="C91" s="713">
        <v>115000000</v>
      </c>
      <c r="D91" s="714">
        <v>175453006.29</v>
      </c>
      <c r="E91" s="104">
        <f>F91-'[19]Anexo 2 _ DP FUNC'!F91</f>
        <v>11205885.97999999</v>
      </c>
      <c r="F91" s="104">
        <v>175453006.26</v>
      </c>
      <c r="G91" s="1207">
        <f>F91/F126*100</f>
        <v>4.979835990585703</v>
      </c>
      <c r="H91" s="657">
        <f>D91-F91</f>
        <v>0.030000001192092896</v>
      </c>
      <c r="I91" s="109">
        <f>J91-'[19]Anexo 2 _ DP FUNC'!J91</f>
        <v>25981649.00999999</v>
      </c>
      <c r="J91" s="109">
        <v>162797184.38</v>
      </c>
      <c r="K91" s="1207">
        <f>J91/J126*100</f>
        <v>4.977415739359454</v>
      </c>
      <c r="L91" s="655">
        <f>D91-J91</f>
        <v>12655821.909999996</v>
      </c>
      <c r="M91" s="742">
        <f>F91-J91</f>
        <v>12655821.879999995</v>
      </c>
      <c r="N91" s="274"/>
      <c r="O91" s="158"/>
    </row>
    <row r="92" spans="1:15" s="268" customFormat="1" ht="18" customHeight="1">
      <c r="A92" s="1614" t="s">
        <v>115</v>
      </c>
      <c r="B92" s="1615"/>
      <c r="C92" s="663">
        <v>72915140.43</v>
      </c>
      <c r="D92" s="717">
        <v>118180725.56</v>
      </c>
      <c r="E92" s="189">
        <f>F92-'[19]Anexo 2 _ DP FUNC'!F92</f>
        <v>3556585.1400000006</v>
      </c>
      <c r="F92" s="189">
        <v>114338622.39</v>
      </c>
      <c r="G92" s="1208">
        <f>F92/F126*100</f>
        <v>3.245242695060734</v>
      </c>
      <c r="H92" s="671">
        <f>D92-F92</f>
        <v>3842103.170000002</v>
      </c>
      <c r="I92" s="740">
        <f>J92-'[19]Anexo 2 _ DP FUNC'!J92</f>
        <v>27329692.08</v>
      </c>
      <c r="J92" s="740">
        <v>101060671.27</v>
      </c>
      <c r="K92" s="1208">
        <f>J92/J126*100</f>
        <v>3.089862872783978</v>
      </c>
      <c r="L92" s="672">
        <f>D92-J92</f>
        <v>17120054.290000007</v>
      </c>
      <c r="M92" s="738">
        <f>F92-J92</f>
        <v>13277951.120000005</v>
      </c>
      <c r="N92" s="274"/>
      <c r="O92" s="158"/>
    </row>
    <row r="93" spans="1:15" s="619" customFormat="1" ht="18" customHeight="1">
      <c r="A93" s="1622" t="s">
        <v>116</v>
      </c>
      <c r="B93" s="1623"/>
      <c r="C93" s="731">
        <f>C94+C95+C96</f>
        <v>672522</v>
      </c>
      <c r="D93" s="731">
        <f>D94+D95+D96</f>
        <v>672522</v>
      </c>
      <c r="E93" s="731">
        <f>E94+E95+E96</f>
        <v>-58749.16</v>
      </c>
      <c r="F93" s="731">
        <f>F94+F95+F96</f>
        <v>74801</v>
      </c>
      <c r="G93" s="1206">
        <f>F93/F126*100</f>
        <v>0.0021230568792865614</v>
      </c>
      <c r="H93" s="731">
        <f>H94+H95+H96</f>
        <v>597721</v>
      </c>
      <c r="I93" s="731">
        <f>I94+I95+I96</f>
        <v>17271</v>
      </c>
      <c r="J93" s="731">
        <f>J94+J95+J96</f>
        <v>73801</v>
      </c>
      <c r="K93" s="1206">
        <f>J93/J126*100</f>
        <v>0.002256416536805875</v>
      </c>
      <c r="L93" s="731">
        <f>L94+L95+L96</f>
        <v>598721</v>
      </c>
      <c r="M93" s="731">
        <f>M94+M95+M96</f>
        <v>1000</v>
      </c>
      <c r="N93" s="620"/>
      <c r="O93" s="618"/>
    </row>
    <row r="94" spans="1:15" s="268" customFormat="1" ht="18" customHeight="1">
      <c r="A94" s="1626" t="s">
        <v>71</v>
      </c>
      <c r="B94" s="1627"/>
      <c r="C94" s="655"/>
      <c r="D94" s="655"/>
      <c r="E94" s="104"/>
      <c r="F94" s="677"/>
      <c r="G94" s="1207"/>
      <c r="H94" s="657"/>
      <c r="I94" s="109"/>
      <c r="J94" s="674"/>
      <c r="K94" s="1207"/>
      <c r="L94" s="655"/>
      <c r="M94" s="742"/>
      <c r="N94" s="274"/>
      <c r="O94" s="158"/>
    </row>
    <row r="95" spans="1:15" s="268" customFormat="1" ht="18" customHeight="1">
      <c r="A95" s="1626" t="s">
        <v>117</v>
      </c>
      <c r="B95" s="1627"/>
      <c r="C95" s="655"/>
      <c r="D95" s="655"/>
      <c r="E95" s="104"/>
      <c r="F95" s="677"/>
      <c r="G95" s="1207"/>
      <c r="H95" s="657"/>
      <c r="I95" s="109"/>
      <c r="J95" s="674"/>
      <c r="K95" s="1207"/>
      <c r="L95" s="655"/>
      <c r="M95" s="742"/>
      <c r="N95" s="274"/>
      <c r="O95" s="158"/>
    </row>
    <row r="96" spans="1:15" s="268" customFormat="1" ht="18" customHeight="1">
      <c r="A96" s="1614" t="s">
        <v>118</v>
      </c>
      <c r="B96" s="1615"/>
      <c r="C96" s="663">
        <v>672522</v>
      </c>
      <c r="D96" s="663">
        <f>C96</f>
        <v>672522</v>
      </c>
      <c r="E96" s="189">
        <f>F96-'[19]Anexo 2 _ DP FUNC'!F96</f>
        <v>-58749.16</v>
      </c>
      <c r="F96" s="732">
        <v>74801</v>
      </c>
      <c r="G96" s="1208">
        <f>F96/F126*100</f>
        <v>0.0021230568792865614</v>
      </c>
      <c r="H96" s="657">
        <f>D96-F96</f>
        <v>597721</v>
      </c>
      <c r="I96" s="109">
        <f>J96-'[19]Anexo 2 _ DP FUNC'!J96</f>
        <v>17271</v>
      </c>
      <c r="J96" s="740">
        <v>73801</v>
      </c>
      <c r="K96" s="1208">
        <f>J96/J126*100</f>
        <v>0.002256416536805875</v>
      </c>
      <c r="L96" s="655">
        <f>D96-J96</f>
        <v>598721</v>
      </c>
      <c r="M96" s="738">
        <f>F96-J96</f>
        <v>1000</v>
      </c>
      <c r="N96" s="274"/>
      <c r="O96" s="158"/>
    </row>
    <row r="97" spans="1:15" s="619" customFormat="1" ht="18" customHeight="1">
      <c r="A97" s="1622" t="s">
        <v>119</v>
      </c>
      <c r="B97" s="1623"/>
      <c r="C97" s="668">
        <f aca="true" t="shared" si="17" ref="C97:L97">SUM(C98:C101)</f>
        <v>6397966.36</v>
      </c>
      <c r="D97" s="668">
        <f t="shared" si="17"/>
        <v>7060933.890000001</v>
      </c>
      <c r="E97" s="207">
        <f t="shared" si="17"/>
        <v>1320163.4</v>
      </c>
      <c r="F97" s="685">
        <f t="shared" si="17"/>
        <v>6937513.21</v>
      </c>
      <c r="G97" s="1206">
        <f>F97/F126*100</f>
        <v>0.19690559144439107</v>
      </c>
      <c r="H97" s="686">
        <f t="shared" si="17"/>
        <v>123420.68000000017</v>
      </c>
      <c r="I97" s="686">
        <f>SUM(I98:I101)</f>
        <v>2548765.22</v>
      </c>
      <c r="J97" s="617">
        <f t="shared" si="17"/>
        <v>6528113.5</v>
      </c>
      <c r="K97" s="1206">
        <f>J97/J126*100</f>
        <v>0.19959273255844337</v>
      </c>
      <c r="L97" s="685">
        <f t="shared" si="17"/>
        <v>532820.3900000001</v>
      </c>
      <c r="M97" s="689">
        <f>SUM(M98:M101)</f>
        <v>409399.70999999996</v>
      </c>
      <c r="N97" s="620"/>
      <c r="O97" s="618"/>
    </row>
    <row r="98" spans="1:42" s="268" customFormat="1" ht="18" customHeight="1">
      <c r="A98" s="1626" t="s">
        <v>71</v>
      </c>
      <c r="B98" s="1627"/>
      <c r="C98" s="659"/>
      <c r="D98" s="659"/>
      <c r="E98" s="104"/>
      <c r="F98" s="656"/>
      <c r="G98" s="1207"/>
      <c r="H98" s="657"/>
      <c r="I98" s="109"/>
      <c r="J98" s="241"/>
      <c r="K98" s="1207"/>
      <c r="L98" s="655"/>
      <c r="M98" s="742"/>
      <c r="N98" s="274"/>
      <c r="O98" s="158"/>
      <c r="AP98" s="733"/>
    </row>
    <row r="99" spans="1:15" s="268" customFormat="1" ht="18" customHeight="1">
      <c r="A99" s="1626" t="s">
        <v>120</v>
      </c>
      <c r="B99" s="1627"/>
      <c r="C99" s="659">
        <v>568000</v>
      </c>
      <c r="D99" s="659">
        <v>2873098.52</v>
      </c>
      <c r="E99" s="104">
        <f>F99-'[19]Anexo 2 _ DP FUNC'!F99</f>
        <v>69796.43000000017</v>
      </c>
      <c r="F99" s="104">
        <v>2842894.95</v>
      </c>
      <c r="G99" s="1207">
        <f>F99/F126*100</f>
        <v>0.08068913090315004</v>
      </c>
      <c r="H99" s="657">
        <f>D99-F99</f>
        <v>30203.569999999832</v>
      </c>
      <c r="I99" s="109">
        <f>J99-'[19]Anexo 2 _ DP FUNC'!J99</f>
        <v>1173191.27</v>
      </c>
      <c r="J99" s="658">
        <v>2825044.46</v>
      </c>
      <c r="K99" s="1207">
        <f>J99/J126*100</f>
        <v>0.08637385722084827</v>
      </c>
      <c r="L99" s="655">
        <f>D99-J99</f>
        <v>48054.060000000056</v>
      </c>
      <c r="M99" s="742">
        <f>F99-J99</f>
        <v>17850.490000000224</v>
      </c>
      <c r="N99" s="274"/>
      <c r="O99" s="158"/>
    </row>
    <row r="100" spans="1:15" s="268" customFormat="1" ht="18" customHeight="1">
      <c r="A100" s="1626" t="s">
        <v>377</v>
      </c>
      <c r="B100" s="1627"/>
      <c r="C100" s="655"/>
      <c r="D100" s="659"/>
      <c r="E100" s="104">
        <f>F100-'[18]Anexo 2 _ DP FUNC'!F100</f>
        <v>0</v>
      </c>
      <c r="F100" s="104"/>
      <c r="G100" s="1207"/>
      <c r="H100" s="657"/>
      <c r="I100" s="109">
        <f>J100-'[19]Anexo 2 _ DP FUNC'!J100</f>
        <v>0</v>
      </c>
      <c r="J100" s="674"/>
      <c r="K100" s="1207"/>
      <c r="L100" s="655"/>
      <c r="M100" s="742"/>
      <c r="N100" s="274"/>
      <c r="O100" s="158"/>
    </row>
    <row r="101" spans="1:15" s="268" customFormat="1" ht="18" customHeight="1">
      <c r="A101" s="1614" t="s">
        <v>121</v>
      </c>
      <c r="B101" s="1615"/>
      <c r="C101" s="663">
        <v>5829966.36</v>
      </c>
      <c r="D101" s="665">
        <v>4187835.37</v>
      </c>
      <c r="E101" s="104">
        <f>F101-'[19]Anexo 2 _ DP FUNC'!F101</f>
        <v>1250366.9699999997</v>
      </c>
      <c r="F101" s="732">
        <v>4094618.26</v>
      </c>
      <c r="G101" s="1208">
        <f>F101/F126*100</f>
        <v>0.11621646054124103</v>
      </c>
      <c r="H101" s="671">
        <f>D101-F101</f>
        <v>93217.11000000034</v>
      </c>
      <c r="I101" s="109">
        <f>J101-'[19]Anexo 2 _ DP FUNC'!J101</f>
        <v>1375573.9500000002</v>
      </c>
      <c r="J101" s="109">
        <v>3703069.04</v>
      </c>
      <c r="K101" s="1208">
        <f>J101/J126*100</f>
        <v>0.11321887533759509</v>
      </c>
      <c r="L101" s="672">
        <f>D101-J101</f>
        <v>484766.3300000001</v>
      </c>
      <c r="M101" s="742">
        <f>F101-J101</f>
        <v>391549.21999999974</v>
      </c>
      <c r="N101" s="274"/>
      <c r="O101" s="158"/>
    </row>
    <row r="102" spans="1:15" s="619" customFormat="1" ht="18" customHeight="1">
      <c r="A102" s="1622" t="s">
        <v>122</v>
      </c>
      <c r="B102" s="1623"/>
      <c r="C102" s="668">
        <f aca="true" t="shared" si="18" ref="C102:L102">SUM(C103:C105)</f>
        <v>2777273</v>
      </c>
      <c r="D102" s="668">
        <f t="shared" si="18"/>
        <v>595629.74</v>
      </c>
      <c r="E102" s="734">
        <f t="shared" si="18"/>
        <v>78495.73999999999</v>
      </c>
      <c r="F102" s="694">
        <f t="shared" si="18"/>
        <v>315406.74</v>
      </c>
      <c r="G102" s="1206">
        <f>F102/F126*100</f>
        <v>0.008952105575197496</v>
      </c>
      <c r="H102" s="695">
        <f t="shared" si="18"/>
        <v>280223</v>
      </c>
      <c r="I102" s="686">
        <f>SUM(I103:I105)</f>
        <v>256161.41999999998</v>
      </c>
      <c r="J102" s="653">
        <f t="shared" si="18"/>
        <v>315406.74</v>
      </c>
      <c r="K102" s="1206">
        <f>J102/J126*100</f>
        <v>0.0096433514987064</v>
      </c>
      <c r="L102" s="694">
        <f t="shared" si="18"/>
        <v>280223</v>
      </c>
      <c r="M102" s="654">
        <f>SUM(M103:M105)</f>
        <v>0</v>
      </c>
      <c r="N102" s="620"/>
      <c r="O102" s="618"/>
    </row>
    <row r="103" spans="1:15" s="268" customFormat="1" ht="18" customHeight="1">
      <c r="A103" s="1046" t="s">
        <v>76</v>
      </c>
      <c r="B103" s="698"/>
      <c r="C103" s="659"/>
      <c r="D103" s="659"/>
      <c r="E103" s="104"/>
      <c r="F103" s="656"/>
      <c r="G103" s="1207"/>
      <c r="H103" s="657"/>
      <c r="I103" s="109"/>
      <c r="J103" s="241"/>
      <c r="K103" s="1207"/>
      <c r="L103" s="655"/>
      <c r="M103" s="742"/>
      <c r="N103" s="274"/>
      <c r="O103" s="158"/>
    </row>
    <row r="104" spans="1:15" s="268" customFormat="1" ht="18" customHeight="1">
      <c r="A104" s="1626" t="s">
        <v>71</v>
      </c>
      <c r="B104" s="1627"/>
      <c r="C104" s="659"/>
      <c r="D104" s="659"/>
      <c r="E104" s="104"/>
      <c r="F104" s="656"/>
      <c r="G104" s="1207"/>
      <c r="H104" s="657"/>
      <c r="I104" s="109"/>
      <c r="J104" s="241"/>
      <c r="K104" s="1207"/>
      <c r="L104" s="655"/>
      <c r="M104" s="742"/>
      <c r="N104" s="274"/>
      <c r="O104" s="158"/>
    </row>
    <row r="105" spans="1:15" s="268" customFormat="1" ht="18" customHeight="1">
      <c r="A105" s="1624" t="s">
        <v>123</v>
      </c>
      <c r="B105" s="1625"/>
      <c r="C105" s="697">
        <v>2777273</v>
      </c>
      <c r="D105" s="681">
        <v>595629.74</v>
      </c>
      <c r="E105" s="189">
        <f>F105-'[19]Anexo 2 _ DP FUNC'!F105</f>
        <v>78495.73999999999</v>
      </c>
      <c r="F105" s="189">
        <v>315406.74</v>
      </c>
      <c r="G105" s="1208">
        <f>F105/F126*100</f>
        <v>0.008952105575197496</v>
      </c>
      <c r="H105" s="657">
        <f>D105-F105</f>
        <v>280223</v>
      </c>
      <c r="I105" s="109">
        <f>J105-'[19]Anexo 2 _ DP FUNC'!J105</f>
        <v>256161.41999999998</v>
      </c>
      <c r="J105" s="671">
        <v>315406.74</v>
      </c>
      <c r="K105" s="1208">
        <f>J105/J126*100</f>
        <v>0.0096433514987064</v>
      </c>
      <c r="L105" s="655">
        <f>D105-J105</f>
        <v>280223</v>
      </c>
      <c r="M105" s="738">
        <f>F105-J105</f>
        <v>0</v>
      </c>
      <c r="N105" s="274"/>
      <c r="O105" s="158"/>
    </row>
    <row r="106" spans="1:15" s="619" customFormat="1" ht="18" customHeight="1">
      <c r="A106" s="1048" t="s">
        <v>378</v>
      </c>
      <c r="B106" s="698"/>
      <c r="C106" s="668">
        <f aca="true" t="shared" si="19" ref="C106:L106">C107</f>
        <v>8300000</v>
      </c>
      <c r="D106" s="735">
        <f t="shared" si="19"/>
        <v>26165000</v>
      </c>
      <c r="E106" s="222">
        <f t="shared" si="19"/>
        <v>6371470.329999998</v>
      </c>
      <c r="F106" s="685">
        <f t="shared" si="19"/>
        <v>26116470.33</v>
      </c>
      <c r="G106" s="1206">
        <f>F106/F126*100</f>
        <v>0.7412568280743557</v>
      </c>
      <c r="H106" s="686">
        <f t="shared" si="19"/>
        <v>48529.67000000179</v>
      </c>
      <c r="I106" s="686">
        <f t="shared" si="19"/>
        <v>6734253.6000000015</v>
      </c>
      <c r="J106" s="736">
        <f t="shared" si="19"/>
        <v>25643351.28</v>
      </c>
      <c r="K106" s="1206">
        <f>J106/J126*100</f>
        <v>0.7840284262721928</v>
      </c>
      <c r="L106" s="737">
        <f t="shared" si="19"/>
        <v>521648.7199999988</v>
      </c>
      <c r="M106" s="1060">
        <f>M107</f>
        <v>473119.049999997</v>
      </c>
      <c r="N106" s="620"/>
      <c r="O106" s="618"/>
    </row>
    <row r="107" spans="1:15" s="268" customFormat="1" ht="18" customHeight="1">
      <c r="A107" s="1049" t="s">
        <v>379</v>
      </c>
      <c r="B107" s="720"/>
      <c r="C107" s="258">
        <v>8300000</v>
      </c>
      <c r="D107" s="738">
        <v>26165000</v>
      </c>
      <c r="E107" s="740">
        <f>F107-'[19]Anexo 2 _ DP FUNC'!F107</f>
        <v>6371470.329999998</v>
      </c>
      <c r="F107" s="739">
        <v>26116470.33</v>
      </c>
      <c r="G107" s="1208">
        <f>F107/F126*100</f>
        <v>0.7412568280743557</v>
      </c>
      <c r="H107" s="657">
        <f>D107-F107</f>
        <v>48529.67000000179</v>
      </c>
      <c r="I107" s="740">
        <f>J107-'[19]Anexo 2 _ DP FUNC'!J107</f>
        <v>6734253.6000000015</v>
      </c>
      <c r="J107" s="740">
        <v>25643351.28</v>
      </c>
      <c r="K107" s="1208">
        <f>J107/J126*100</f>
        <v>0.7840284262721928</v>
      </c>
      <c r="L107" s="672">
        <f>D107-J107</f>
        <v>521648.7199999988</v>
      </c>
      <c r="M107" s="738">
        <f>F107-J107</f>
        <v>473119.049999997</v>
      </c>
      <c r="N107" s="274"/>
      <c r="O107" s="158"/>
    </row>
    <row r="108" spans="1:15" s="619" customFormat="1" ht="18" customHeight="1">
      <c r="A108" s="1622" t="s">
        <v>124</v>
      </c>
      <c r="B108" s="1623"/>
      <c r="C108" s="668">
        <f aca="true" t="shared" si="20" ref="C108:J108">C111+C109+C110</f>
        <v>23905303</v>
      </c>
      <c r="D108" s="668">
        <f t="shared" si="20"/>
        <v>27362409.7</v>
      </c>
      <c r="E108" s="741">
        <f t="shared" si="20"/>
        <v>5101822.43</v>
      </c>
      <c r="F108" s="694">
        <f t="shared" si="20"/>
        <v>26812695.33</v>
      </c>
      <c r="G108" s="1206">
        <f>F108/F126*100</f>
        <v>0.7610175969916333</v>
      </c>
      <c r="H108" s="686">
        <f t="shared" si="20"/>
        <v>549714.370000001</v>
      </c>
      <c r="I108" s="695">
        <f>I111+I109+I110</f>
        <v>12814839.120000001</v>
      </c>
      <c r="J108" s="736">
        <f t="shared" si="20"/>
        <v>26179714.76</v>
      </c>
      <c r="K108" s="1206">
        <f>J108/J126*100</f>
        <v>0.8004273832783411</v>
      </c>
      <c r="L108" s="689">
        <f>L109+L110+L111</f>
        <v>1182694.9399999976</v>
      </c>
      <c r="M108" s="689">
        <f>M109+M110+M111</f>
        <v>632980.5699999966</v>
      </c>
      <c r="N108" s="620"/>
      <c r="O108" s="618"/>
    </row>
    <row r="109" spans="1:15" s="268" customFormat="1" ht="18" customHeight="1">
      <c r="A109" s="1626" t="s">
        <v>78</v>
      </c>
      <c r="B109" s="1627"/>
      <c r="C109" s="655"/>
      <c r="D109" s="659"/>
      <c r="E109" s="104"/>
      <c r="F109" s="656"/>
      <c r="G109" s="1207"/>
      <c r="H109" s="657"/>
      <c r="I109" s="109"/>
      <c r="J109" s="674"/>
      <c r="K109" s="1207"/>
      <c r="L109" s="655"/>
      <c r="M109" s="742"/>
      <c r="N109" s="274"/>
      <c r="O109" s="158"/>
    </row>
    <row r="110" spans="1:15" s="268" customFormat="1" ht="18" customHeight="1">
      <c r="A110" s="1046" t="s">
        <v>110</v>
      </c>
      <c r="B110" s="702"/>
      <c r="C110" s="655"/>
      <c r="D110" s="659"/>
      <c r="E110" s="104"/>
      <c r="F110" s="656"/>
      <c r="G110" s="1207"/>
      <c r="H110" s="657"/>
      <c r="I110" s="109"/>
      <c r="J110" s="674"/>
      <c r="K110" s="1207"/>
      <c r="L110" s="655"/>
      <c r="M110" s="742"/>
      <c r="N110" s="274"/>
      <c r="O110" s="158"/>
    </row>
    <row r="111" spans="1:15" s="268" customFormat="1" ht="18" customHeight="1">
      <c r="A111" s="1614" t="s">
        <v>125</v>
      </c>
      <c r="B111" s="1615"/>
      <c r="C111" s="663">
        <v>23905303</v>
      </c>
      <c r="D111" s="665">
        <v>27362409.7</v>
      </c>
      <c r="E111" s="189">
        <f>F111-'[19]Anexo 2 _ DP FUNC'!F111</f>
        <v>5101822.43</v>
      </c>
      <c r="F111" s="189">
        <v>26812695.33</v>
      </c>
      <c r="G111" s="1208">
        <f>F111/F126*100</f>
        <v>0.7610175969916333</v>
      </c>
      <c r="H111" s="671">
        <f>D111-F111</f>
        <v>549714.370000001</v>
      </c>
      <c r="I111" s="740">
        <f>J111-'[19]Anexo 2 _ DP FUNC'!J111</f>
        <v>12814839.120000001</v>
      </c>
      <c r="J111" s="740">
        <v>26179714.76</v>
      </c>
      <c r="K111" s="1208">
        <f>J111/J126*100</f>
        <v>0.8004273832783411</v>
      </c>
      <c r="L111" s="672">
        <f>D111-J111</f>
        <v>1182694.9399999976</v>
      </c>
      <c r="M111" s="738">
        <f>F111-J111</f>
        <v>632980.5699999966</v>
      </c>
      <c r="N111" s="274"/>
      <c r="O111" s="158"/>
    </row>
    <row r="112" spans="1:15" s="619" customFormat="1" ht="18" customHeight="1">
      <c r="A112" s="1622" t="s">
        <v>126</v>
      </c>
      <c r="B112" s="1623"/>
      <c r="C112" s="668">
        <f>C113+C114</f>
        <v>11433273</v>
      </c>
      <c r="D112" s="668">
        <f>D113+D114</f>
        <v>7762021.09</v>
      </c>
      <c r="E112" s="668">
        <f>E113+E114</f>
        <v>428713.60999999987</v>
      </c>
      <c r="F112" s="668">
        <f>F113+F114</f>
        <v>3533711.46</v>
      </c>
      <c r="G112" s="1206">
        <f>F112/F126*100</f>
        <v>0.10029639208789667</v>
      </c>
      <c r="H112" s="668">
        <f>H113+H114</f>
        <v>4228309.63</v>
      </c>
      <c r="I112" s="668">
        <f>I113+I114</f>
        <v>746311.4699999997</v>
      </c>
      <c r="J112" s="668">
        <f>J113+J114</f>
        <v>3533711.46</v>
      </c>
      <c r="K112" s="1206">
        <f>J112/J126*100</f>
        <v>0.10804087986130856</v>
      </c>
      <c r="L112" s="668">
        <f>L113+L114</f>
        <v>4228309.63</v>
      </c>
      <c r="M112" s="668">
        <f>M113+M114</f>
        <v>0</v>
      </c>
      <c r="N112" s="620"/>
      <c r="O112" s="618"/>
    </row>
    <row r="113" spans="1:15" s="268" customFormat="1" ht="18" customHeight="1">
      <c r="A113" s="1626" t="s">
        <v>71</v>
      </c>
      <c r="B113" s="1627"/>
      <c r="C113" s="655"/>
      <c r="D113" s="655"/>
      <c r="E113" s="104"/>
      <c r="F113" s="656"/>
      <c r="G113" s="1207"/>
      <c r="H113" s="657"/>
      <c r="I113" s="109"/>
      <c r="J113" s="674"/>
      <c r="K113" s="1207"/>
      <c r="L113" s="655"/>
      <c r="M113" s="742"/>
      <c r="N113" s="274"/>
      <c r="O113" s="158"/>
    </row>
    <row r="114" spans="1:15" s="268" customFormat="1" ht="18" customHeight="1">
      <c r="A114" s="1614" t="s">
        <v>127</v>
      </c>
      <c r="B114" s="1615"/>
      <c r="C114" s="663">
        <v>11433273</v>
      </c>
      <c r="D114" s="663">
        <v>7762021.09</v>
      </c>
      <c r="E114" s="189">
        <f>F114-'[19]Anexo 2 _ DP FUNC'!F114</f>
        <v>428713.60999999987</v>
      </c>
      <c r="F114" s="189">
        <v>3533711.46</v>
      </c>
      <c r="G114" s="1208">
        <f>F114/F126*100</f>
        <v>0.10029639208789667</v>
      </c>
      <c r="H114" s="671">
        <f>D114-F114</f>
        <v>4228309.63</v>
      </c>
      <c r="I114" s="740">
        <f>J114-'[19]Anexo 2 _ DP FUNC'!J114</f>
        <v>746311.4699999997</v>
      </c>
      <c r="J114" s="740">
        <v>3533711.46</v>
      </c>
      <c r="K114" s="1208">
        <f>J114/J126*100</f>
        <v>0.10804087986130856</v>
      </c>
      <c r="L114" s="672">
        <f>D114-J114</f>
        <v>4228309.63</v>
      </c>
      <c r="M114" s="738">
        <f>F114-J114</f>
        <v>0</v>
      </c>
      <c r="N114" s="274"/>
      <c r="O114" s="158"/>
    </row>
    <row r="115" spans="1:15" s="619" customFormat="1" ht="18" customHeight="1">
      <c r="A115" s="1616" t="s">
        <v>128</v>
      </c>
      <c r="B115" s="1617"/>
      <c r="C115" s="684">
        <f>C116+C117+C118+C119</f>
        <v>139671431.47</v>
      </c>
      <c r="D115" s="684">
        <f>D116+D117+D118+D119</f>
        <v>114869826.84</v>
      </c>
      <c r="E115" s="684">
        <f>E116+E117+E118+E119</f>
        <v>4637373.560000002</v>
      </c>
      <c r="F115" s="684">
        <f>F116+F117+F118+F119</f>
        <v>106941212.33</v>
      </c>
      <c r="G115" s="1206">
        <f>F115/F126*100</f>
        <v>3.0352839736962256</v>
      </c>
      <c r="H115" s="684">
        <f>H116+H117+H118+H119</f>
        <v>7928614.510000002</v>
      </c>
      <c r="I115" s="684">
        <f>I116+I117+I118+I119</f>
        <v>24847774.51</v>
      </c>
      <c r="J115" s="684">
        <f>J116+J117+J118+J119</f>
        <v>102290496.75</v>
      </c>
      <c r="K115" s="1206">
        <f>J115/J126*100</f>
        <v>3.1274639696587796</v>
      </c>
      <c r="L115" s="684">
        <f>L116+L117+L118+L119</f>
        <v>12579330.09</v>
      </c>
      <c r="M115" s="684">
        <f>M116+M117+M118+M119</f>
        <v>4650715.579999998</v>
      </c>
      <c r="N115" s="620"/>
      <c r="O115" s="618"/>
    </row>
    <row r="116" spans="1:15" s="268" customFormat="1" ht="18" customHeight="1">
      <c r="A116" s="1618" t="s">
        <v>71</v>
      </c>
      <c r="B116" s="1619"/>
      <c r="C116" s="655"/>
      <c r="D116" s="655"/>
      <c r="E116" s="104"/>
      <c r="F116" s="656"/>
      <c r="G116" s="1207"/>
      <c r="H116" s="657"/>
      <c r="I116" s="109"/>
      <c r="J116" s="658"/>
      <c r="K116" s="1207"/>
      <c r="L116" s="655"/>
      <c r="M116" s="742"/>
      <c r="N116" s="274"/>
      <c r="O116" s="158"/>
    </row>
    <row r="117" spans="1:15" s="268" customFormat="1" ht="18" customHeight="1">
      <c r="A117" s="1046" t="s">
        <v>89</v>
      </c>
      <c r="B117" s="615"/>
      <c r="C117" s="655">
        <v>30000000</v>
      </c>
      <c r="D117" s="655">
        <v>26224935.37</v>
      </c>
      <c r="E117" s="104">
        <f>F117-'[19]Anexo 2 _ DP FUNC'!F117</f>
        <v>-1300000</v>
      </c>
      <c r="F117" s="104">
        <v>24780935.37</v>
      </c>
      <c r="G117" s="1207">
        <f>F117/F126*100</f>
        <v>0.7033506946756618</v>
      </c>
      <c r="H117" s="657">
        <f>D117-F117</f>
        <v>1444000</v>
      </c>
      <c r="I117" s="109">
        <f>J117-'[19]Anexo 2 _ DP FUNC'!J117</f>
        <v>7138042.3999999985</v>
      </c>
      <c r="J117" s="109">
        <v>23068568.2</v>
      </c>
      <c r="K117" s="1207">
        <f>J117/J126*100</f>
        <v>0.7053061444548736</v>
      </c>
      <c r="L117" s="655">
        <f>D117-J117</f>
        <v>3156367.170000002</v>
      </c>
      <c r="M117" s="742">
        <f>F117-J117</f>
        <v>1712367.1700000018</v>
      </c>
      <c r="N117" s="274"/>
      <c r="O117" s="158"/>
    </row>
    <row r="118" spans="1:15" s="268" customFormat="1" ht="18" customHeight="1">
      <c r="A118" s="1618" t="s">
        <v>129</v>
      </c>
      <c r="B118" s="1619"/>
      <c r="C118" s="655">
        <v>88956271.67</v>
      </c>
      <c r="D118" s="655">
        <v>59985031.67</v>
      </c>
      <c r="E118" s="104">
        <f>F118-'[19]Anexo 2 _ DP FUNC'!F118</f>
        <v>3852922.8100000024</v>
      </c>
      <c r="F118" s="104">
        <v>54193698.88</v>
      </c>
      <c r="G118" s="1207">
        <f>F118/F126*100</f>
        <v>1.5381653349710356</v>
      </c>
      <c r="H118" s="657">
        <f>D118-F118</f>
        <v>5791332.789999999</v>
      </c>
      <c r="I118" s="109">
        <f>J118-'[19]Anexo 2 _ DP FUNC'!J118</f>
        <v>16361040.64</v>
      </c>
      <c r="J118" s="109">
        <v>54193698.88</v>
      </c>
      <c r="K118" s="1207">
        <f>J118/J126*100</f>
        <v>1.6569363334305771</v>
      </c>
      <c r="L118" s="655">
        <f>D118-J118</f>
        <v>5791332.789999999</v>
      </c>
      <c r="M118" s="742">
        <f>F118-J118</f>
        <v>0</v>
      </c>
      <c r="N118" s="274"/>
      <c r="O118" s="158"/>
    </row>
    <row r="119" spans="1:15" s="268" customFormat="1" ht="18" customHeight="1">
      <c r="A119" s="1620" t="s">
        <v>130</v>
      </c>
      <c r="B119" s="1621"/>
      <c r="C119" s="663">
        <v>20715159.8</v>
      </c>
      <c r="D119" s="663">
        <v>28659859.8</v>
      </c>
      <c r="E119" s="189">
        <f>F119-'[19]Anexo 2 _ DP FUNC'!F119</f>
        <v>2084450.75</v>
      </c>
      <c r="F119" s="189">
        <v>27966578.08</v>
      </c>
      <c r="G119" s="1208">
        <f>F119/F126*100</f>
        <v>0.7937679440495282</v>
      </c>
      <c r="H119" s="671">
        <f>D119-F119</f>
        <v>693281.7200000025</v>
      </c>
      <c r="I119" s="740">
        <f>J119-'[19]Anexo 2 _ DP FUNC'!J119</f>
        <v>1348691.4700000025</v>
      </c>
      <c r="J119" s="740">
        <v>25028229.67</v>
      </c>
      <c r="K119" s="1208">
        <f>J119/J126*100</f>
        <v>0.765221491773329</v>
      </c>
      <c r="L119" s="672">
        <f>D119-J119</f>
        <v>3631630.129999999</v>
      </c>
      <c r="M119" s="742">
        <f>F119-J119</f>
        <v>2938348.4099999964</v>
      </c>
      <c r="N119" s="274"/>
      <c r="O119" s="158"/>
    </row>
    <row r="120" spans="1:15" s="619" customFormat="1" ht="19.5" customHeight="1">
      <c r="A120" s="1622" t="s">
        <v>131</v>
      </c>
      <c r="B120" s="1623"/>
      <c r="C120" s="668">
        <f>C121+C122</f>
        <v>5300000</v>
      </c>
      <c r="D120" s="668">
        <f aca="true" t="shared" si="21" ref="D120:L120">D121+D122</f>
        <v>43984.71</v>
      </c>
      <c r="E120" s="668">
        <f t="shared" si="21"/>
        <v>0</v>
      </c>
      <c r="F120" s="668">
        <f t="shared" si="21"/>
        <v>0</v>
      </c>
      <c r="G120" s="1206">
        <f>F120/F126*100</f>
        <v>0</v>
      </c>
      <c r="H120" s="673">
        <f t="shared" si="21"/>
        <v>43984.71</v>
      </c>
      <c r="I120" s="673">
        <f t="shared" si="21"/>
        <v>0</v>
      </c>
      <c r="J120" s="617">
        <f t="shared" si="21"/>
        <v>0</v>
      </c>
      <c r="K120" s="1206">
        <f>J120/J126*100</f>
        <v>0</v>
      </c>
      <c r="L120" s="668">
        <f t="shared" si="21"/>
        <v>43984.71</v>
      </c>
      <c r="M120" s="654">
        <f>M121+M122</f>
        <v>0</v>
      </c>
      <c r="N120" s="620"/>
      <c r="O120" s="618"/>
    </row>
    <row r="121" spans="1:15" s="619" customFormat="1" ht="19.5" customHeight="1">
      <c r="A121" s="1626" t="s">
        <v>380</v>
      </c>
      <c r="B121" s="1627"/>
      <c r="C121" s="659"/>
      <c r="D121" s="742"/>
      <c r="E121" s="104"/>
      <c r="F121" s="659"/>
      <c r="G121" s="1207"/>
      <c r="H121" s="657"/>
      <c r="I121" s="109"/>
      <c r="J121" s="674"/>
      <c r="K121" s="1207"/>
      <c r="L121" s="655"/>
      <c r="M121" s="742"/>
      <c r="N121" s="274"/>
      <c r="O121" s="618"/>
    </row>
    <row r="122" spans="1:15" s="268" customFormat="1" ht="19.5" customHeight="1">
      <c r="A122" s="1626" t="s">
        <v>132</v>
      </c>
      <c r="B122" s="1627"/>
      <c r="C122" s="663">
        <v>5300000</v>
      </c>
      <c r="D122" s="665">
        <v>43984.71</v>
      </c>
      <c r="E122" s="104"/>
      <c r="F122" s="1058"/>
      <c r="G122" s="1208"/>
      <c r="H122" s="671">
        <f>D122-F122</f>
        <v>43984.71</v>
      </c>
      <c r="I122" s="109"/>
      <c r="J122" s="658"/>
      <c r="K122" s="1208"/>
      <c r="L122" s="655">
        <f>D122-J122</f>
        <v>43984.71</v>
      </c>
      <c r="M122" s="742"/>
      <c r="N122" s="274"/>
      <c r="O122" s="158"/>
    </row>
    <row r="123" spans="1:15" s="268" customFormat="1" ht="7.5" customHeight="1">
      <c r="A123" s="1607"/>
      <c r="B123" s="1608"/>
      <c r="C123" s="743"/>
      <c r="D123" s="743"/>
      <c r="E123" s="744"/>
      <c r="F123" s="1188"/>
      <c r="G123" s="1209"/>
      <c r="H123" s="744"/>
      <c r="I123" s="745"/>
      <c r="J123" s="743"/>
      <c r="K123" s="1209"/>
      <c r="L123" s="746"/>
      <c r="M123" s="1061"/>
      <c r="N123" s="274"/>
      <c r="O123" s="158"/>
    </row>
    <row r="124" spans="1:15" s="619" customFormat="1" ht="15" customHeight="1">
      <c r="A124" s="1063" t="s">
        <v>931</v>
      </c>
      <c r="B124" s="747"/>
      <c r="C124" s="748">
        <v>84310061</v>
      </c>
      <c r="D124" s="749">
        <v>69475484.69</v>
      </c>
      <c r="E124" s="891">
        <f>F124-'[19]Anexo 2 _ DP FUNC'!F124</f>
        <v>-5623850.420000002</v>
      </c>
      <c r="F124" s="891">
        <v>65600741.58</v>
      </c>
      <c r="G124" s="1347">
        <f>F124/F126*100</f>
        <v>1.8619283926380528</v>
      </c>
      <c r="H124" s="750">
        <f>D124-F124</f>
        <v>3874743.1099999994</v>
      </c>
      <c r="I124" s="891">
        <f>J124-'[19]Anexo 2 _ DP FUNC'!J124</f>
        <v>15373260.149999999</v>
      </c>
      <c r="J124" s="890">
        <v>63868030.85</v>
      </c>
      <c r="K124" s="1347">
        <f>J124/J126*100</f>
        <v>1.9527226051566753</v>
      </c>
      <c r="L124" s="751">
        <f>D124-J124</f>
        <v>5607453.839999996</v>
      </c>
      <c r="M124" s="1429">
        <f>F124-J124</f>
        <v>1732710.7299999967</v>
      </c>
      <c r="N124" s="620"/>
      <c r="O124" s="259"/>
    </row>
    <row r="125" spans="1:15" s="268" customFormat="1" ht="15" customHeight="1">
      <c r="A125" s="1047"/>
      <c r="B125" s="662"/>
      <c r="C125" s="717"/>
      <c r="D125" s="717"/>
      <c r="E125" s="717"/>
      <c r="F125" s="717"/>
      <c r="G125" s="1209"/>
      <c r="H125" s="717"/>
      <c r="I125" s="752"/>
      <c r="J125" s="717"/>
      <c r="K125" s="1209"/>
      <c r="L125" s="717"/>
      <c r="M125" s="752"/>
      <c r="N125" s="753"/>
      <c r="O125" s="158"/>
    </row>
    <row r="126" spans="1:15" s="618" customFormat="1" ht="18" customHeight="1">
      <c r="A126" s="1609" t="s">
        <v>932</v>
      </c>
      <c r="B126" s="1610"/>
      <c r="C126" s="754">
        <f>C12+C124</f>
        <v>3497698924.02</v>
      </c>
      <c r="D126" s="754">
        <f>D12+D124</f>
        <v>3959362734.2799997</v>
      </c>
      <c r="E126" s="754">
        <f>E12+E124</f>
        <v>179544891.02000004</v>
      </c>
      <c r="F126" s="754">
        <f>F12+F124</f>
        <v>3523268770.13</v>
      </c>
      <c r="G126" s="1347">
        <f>F126/F126*100</f>
        <v>100</v>
      </c>
      <c r="H126" s="755">
        <f>H12+H124</f>
        <v>436093964.1499999</v>
      </c>
      <c r="I126" s="756">
        <f>I12+I124</f>
        <v>784132847.23</v>
      </c>
      <c r="J126" s="755">
        <f>J12+J124</f>
        <v>3270717032.7900004</v>
      </c>
      <c r="K126" s="1347">
        <f>J126/J126*100</f>
        <v>100</v>
      </c>
      <c r="L126" s="754">
        <f>L12+L124</f>
        <v>688645701.4900001</v>
      </c>
      <c r="M126" s="1062">
        <f>M12+M124</f>
        <v>252551737.34</v>
      </c>
      <c r="N126" s="620"/>
      <c r="O126" s="153"/>
    </row>
    <row r="127" spans="1:15" s="619" customFormat="1" ht="18" customHeight="1">
      <c r="A127" s="615" t="str">
        <f>'Anexo 1 _ BAL ORC'!A90</f>
        <v>FONTE: SECRETARIA MUNICIPAL DA FAZENDA</v>
      </c>
      <c r="B127" s="616"/>
      <c r="C127" s="617"/>
      <c r="D127" s="617"/>
      <c r="E127" s="617"/>
      <c r="F127" s="617"/>
      <c r="G127" s="241"/>
      <c r="H127" s="617"/>
      <c r="I127" s="617"/>
      <c r="J127" s="617"/>
      <c r="K127" s="241"/>
      <c r="L127" s="617"/>
      <c r="M127" s="99"/>
      <c r="N127" s="274"/>
      <c r="O127" s="618"/>
    </row>
    <row r="128" spans="1:15" s="619" customFormat="1" ht="29.25" customHeight="1">
      <c r="A128" s="1611" t="str">
        <f>'Anexo 1 _ BAL ORC'!A91</f>
        <v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v>
      </c>
      <c r="B128" s="1611"/>
      <c r="C128" s="1611"/>
      <c r="D128" s="1611"/>
      <c r="E128" s="1611"/>
      <c r="F128" s="1611"/>
      <c r="G128" s="1611"/>
      <c r="H128" s="1611"/>
      <c r="I128" s="1611"/>
      <c r="J128" s="1611"/>
      <c r="K128" s="1611"/>
      <c r="L128" s="1611"/>
      <c r="M128" s="1611"/>
      <c r="N128" s="620"/>
      <c r="O128" s="618"/>
    </row>
    <row r="129" spans="1:15" s="619" customFormat="1" ht="18" customHeight="1">
      <c r="A129" s="621" t="str">
        <f>'Anexo 1 _ BAL ORC'!A92</f>
        <v>a) Despesas liquidadas, consideradas aquelas em que houve a entrega do material ou serviço, nos termos do art. 63 da Lei 4.320/64;</v>
      </c>
      <c r="B129" s="616"/>
      <c r="C129" s="617"/>
      <c r="D129" s="617"/>
      <c r="E129" s="617"/>
      <c r="F129" s="617"/>
      <c r="G129" s="241"/>
      <c r="H129" s="617"/>
      <c r="I129" s="617"/>
      <c r="J129" s="617"/>
      <c r="K129" s="241"/>
      <c r="L129" s="617"/>
      <c r="M129" s="241"/>
      <c r="N129" s="620"/>
      <c r="O129" s="618"/>
    </row>
    <row r="130" spans="1:15" s="619" customFormat="1" ht="18" customHeight="1">
      <c r="A130" s="621" t="str">
        <f>'Anexo 1 _ BAL ORC'!A93</f>
        <v>b) Despesas empenhadas mas não liquidadas, inscritas em Restos a Pagar não-processados, consideradas liquidadas no encerramento do exercício, por força do art.35, inciso II da Lei 4.320/64.</v>
      </c>
      <c r="B130" s="616"/>
      <c r="C130" s="617"/>
      <c r="D130" s="617"/>
      <c r="E130" s="617"/>
      <c r="F130" s="617"/>
      <c r="G130" s="241"/>
      <c r="H130" s="617"/>
      <c r="I130" s="617"/>
      <c r="J130" s="617"/>
      <c r="K130" s="241"/>
      <c r="L130" s="617"/>
      <c r="M130" s="241"/>
      <c r="N130" s="620"/>
      <c r="O130" s="618"/>
    </row>
    <row r="131" spans="1:15" s="268" customFormat="1" ht="27.75" customHeight="1">
      <c r="A131" s="622" t="str">
        <f>'Anexo 1 _ BAL ORC'!A95</f>
        <v>  São Luís,  de Janeiro de 2021.</v>
      </c>
      <c r="B131" s="622"/>
      <c r="C131" s="623"/>
      <c r="D131" s="623"/>
      <c r="E131" s="623"/>
      <c r="F131" s="624"/>
      <c r="G131" s="624"/>
      <c r="H131" s="624"/>
      <c r="I131" s="623"/>
      <c r="J131" s="624"/>
      <c r="K131" s="624"/>
      <c r="L131" s="158"/>
      <c r="M131" s="239"/>
      <c r="N131" s="158"/>
      <c r="O131" s="158"/>
    </row>
    <row r="132" spans="1:13" s="158" customFormat="1" ht="15">
      <c r="A132" s="1612"/>
      <c r="B132" s="1612"/>
      <c r="C132" s="626"/>
      <c r="D132" s="627"/>
      <c r="E132" s="628"/>
      <c r="F132" s="229"/>
      <c r="G132" s="229"/>
      <c r="H132" s="229"/>
      <c r="I132" s="625"/>
      <c r="J132" s="629"/>
      <c r="K132" s="627"/>
      <c r="L132" s="242"/>
      <c r="M132" s="242"/>
    </row>
    <row r="133" spans="1:13" s="158" customFormat="1" ht="15">
      <c r="A133" s="1613"/>
      <c r="B133" s="1613"/>
      <c r="C133" s="1613"/>
      <c r="D133" s="1613"/>
      <c r="E133" s="630"/>
      <c r="F133" s="229"/>
      <c r="G133" s="229"/>
      <c r="H133" s="229"/>
      <c r="I133" s="631"/>
      <c r="J133" s="629"/>
      <c r="K133" s="629"/>
      <c r="L133" s="242"/>
      <c r="M133" s="632"/>
    </row>
    <row r="134" spans="1:15" s="268" customFormat="1" ht="18" customHeight="1">
      <c r="A134" s="626"/>
      <c r="B134" s="626"/>
      <c r="C134" s="626"/>
      <c r="D134" s="242"/>
      <c r="E134" s="633"/>
      <c r="F134" s="116"/>
      <c r="G134" s="116"/>
      <c r="H134" s="116"/>
      <c r="I134" s="633"/>
      <c r="J134" s="242"/>
      <c r="K134" s="242"/>
      <c r="L134" s="242"/>
      <c r="M134" s="242"/>
      <c r="N134" s="158"/>
      <c r="O134" s="158"/>
    </row>
    <row r="135" spans="1:15" s="268" customFormat="1" ht="18" customHeight="1">
      <c r="A135" s="626"/>
      <c r="B135" s="626"/>
      <c r="C135" s="626"/>
      <c r="D135" s="242"/>
      <c r="E135" s="633"/>
      <c r="F135" s="631"/>
      <c r="G135" s="631"/>
      <c r="H135" s="631"/>
      <c r="I135" s="633"/>
      <c r="J135" s="242"/>
      <c r="K135" s="242"/>
      <c r="L135" s="242"/>
      <c r="M135" s="242"/>
      <c r="N135" s="158"/>
      <c r="O135" s="158"/>
    </row>
    <row r="136" spans="1:15" s="268" customFormat="1" ht="18" customHeight="1">
      <c r="A136" s="626"/>
      <c r="B136" s="626"/>
      <c r="C136" s="626"/>
      <c r="D136" s="242"/>
      <c r="E136" s="633"/>
      <c r="F136" s="242"/>
      <c r="G136" s="242"/>
      <c r="H136" s="242"/>
      <c r="I136" s="633"/>
      <c r="J136" s="242"/>
      <c r="K136" s="242"/>
      <c r="L136" s="242"/>
      <c r="M136" s="242"/>
      <c r="N136" s="158"/>
      <c r="O136" s="158"/>
    </row>
    <row r="137" spans="1:15" s="268" customFormat="1" ht="18" customHeight="1">
      <c r="A137" s="237"/>
      <c r="B137" s="237"/>
      <c r="C137" s="237"/>
      <c r="D137" s="629"/>
      <c r="E137" s="633"/>
      <c r="F137" s="633"/>
      <c r="G137" s="633"/>
      <c r="H137" s="633"/>
      <c r="I137" s="633"/>
      <c r="J137" s="633"/>
      <c r="K137" s="633"/>
      <c r="L137" s="242"/>
      <c r="M137" s="242"/>
      <c r="N137" s="158"/>
      <c r="O137" s="158"/>
    </row>
    <row r="138" spans="1:15" s="268" customFormat="1" ht="18" customHeight="1">
      <c r="A138" s="237"/>
      <c r="B138" s="237"/>
      <c r="C138" s="237"/>
      <c r="D138" s="629"/>
      <c r="E138" s="633"/>
      <c r="F138" s="633"/>
      <c r="G138" s="633"/>
      <c r="H138" s="633"/>
      <c r="I138" s="633"/>
      <c r="J138" s="633"/>
      <c r="K138" s="633"/>
      <c r="L138" s="634"/>
      <c r="M138" s="634"/>
      <c r="N138" s="618"/>
      <c r="O138" s="158"/>
    </row>
    <row r="139" spans="1:15" s="268" customFormat="1" ht="18" customHeight="1">
      <c r="A139" s="237"/>
      <c r="B139" s="237"/>
      <c r="C139" s="237"/>
      <c r="D139" s="629"/>
      <c r="E139" s="633"/>
      <c r="F139" s="633"/>
      <c r="G139" s="633"/>
      <c r="H139" s="633"/>
      <c r="I139" s="633"/>
      <c r="J139" s="633"/>
      <c r="K139" s="633"/>
      <c r="L139" s="242"/>
      <c r="M139" s="242"/>
      <c r="N139" s="158"/>
      <c r="O139" s="158"/>
    </row>
    <row r="140" spans="1:15" s="250" customFormat="1" ht="18" customHeight="1">
      <c r="A140" s="251"/>
      <c r="B140" s="251"/>
      <c r="C140" s="251"/>
      <c r="D140" s="245"/>
      <c r="E140" s="249"/>
      <c r="F140" s="252"/>
      <c r="G140" s="252"/>
      <c r="H140" s="252"/>
      <c r="I140" s="252"/>
      <c r="J140" s="252"/>
      <c r="K140" s="252"/>
      <c r="L140" s="252"/>
      <c r="M140" s="246"/>
      <c r="N140" s="247"/>
      <c r="O140" s="247"/>
    </row>
    <row r="141" spans="1:15" s="250" customFormat="1" ht="18" customHeight="1">
      <c r="A141" s="251"/>
      <c r="B141" s="251"/>
      <c r="C141" s="251"/>
      <c r="D141" s="245"/>
      <c r="E141" s="249"/>
      <c r="F141" s="252"/>
      <c r="G141" s="252"/>
      <c r="H141" s="252"/>
      <c r="I141" s="252"/>
      <c r="J141" s="252"/>
      <c r="K141" s="252"/>
      <c r="L141" s="252"/>
      <c r="M141" s="246"/>
      <c r="N141" s="247"/>
      <c r="O141" s="247"/>
    </row>
    <row r="142" spans="1:15" s="250" customFormat="1" ht="18" customHeight="1">
      <c r="A142" s="251"/>
      <c r="B142" s="251"/>
      <c r="C142" s="251"/>
      <c r="D142" s="245"/>
      <c r="E142" s="249"/>
      <c r="F142" s="252"/>
      <c r="G142" s="252"/>
      <c r="H142" s="252"/>
      <c r="I142" s="252"/>
      <c r="J142" s="252"/>
      <c r="K142" s="252"/>
      <c r="L142" s="252"/>
      <c r="M142" s="246"/>
      <c r="N142" s="247"/>
      <c r="O142" s="247"/>
    </row>
    <row r="143" spans="1:15" s="250" customFormat="1" ht="18" customHeight="1">
      <c r="A143" s="251"/>
      <c r="B143" s="251"/>
      <c r="C143" s="251"/>
      <c r="D143" s="245"/>
      <c r="E143" s="252"/>
      <c r="F143" s="252"/>
      <c r="G143" s="252"/>
      <c r="H143" s="252"/>
      <c r="I143" s="252"/>
      <c r="J143" s="252"/>
      <c r="K143" s="252"/>
      <c r="L143" s="252"/>
      <c r="M143" s="246"/>
      <c r="N143" s="247"/>
      <c r="O143" s="247"/>
    </row>
    <row r="144" spans="1:15" s="250" customFormat="1" ht="18" customHeight="1">
      <c r="A144" s="251"/>
      <c r="B144" s="251"/>
      <c r="C144" s="251"/>
      <c r="D144" s="245"/>
      <c r="E144" s="249"/>
      <c r="F144" s="252"/>
      <c r="G144" s="252"/>
      <c r="H144" s="252"/>
      <c r="I144" s="252"/>
      <c r="J144" s="252"/>
      <c r="K144" s="252"/>
      <c r="L144" s="252"/>
      <c r="M144" s="246"/>
      <c r="N144" s="247"/>
      <c r="O144" s="247"/>
    </row>
    <row r="145" spans="1:15" s="250" customFormat="1" ht="18" customHeight="1">
      <c r="A145" s="251"/>
      <c r="B145" s="251"/>
      <c r="C145" s="251"/>
      <c r="D145" s="245"/>
      <c r="E145" s="249"/>
      <c r="F145" s="249"/>
      <c r="G145" s="249"/>
      <c r="H145" s="249"/>
      <c r="I145" s="252"/>
      <c r="J145" s="252"/>
      <c r="K145" s="252"/>
      <c r="L145" s="252"/>
      <c r="M145" s="246"/>
      <c r="N145" s="247"/>
      <c r="O145" s="247"/>
    </row>
    <row r="146" spans="1:15" s="250" customFormat="1" ht="18" customHeight="1">
      <c r="A146" s="251"/>
      <c r="B146" s="251"/>
      <c r="C146" s="251"/>
      <c r="D146" s="245"/>
      <c r="E146" s="249"/>
      <c r="F146" s="249"/>
      <c r="G146" s="249"/>
      <c r="H146" s="249"/>
      <c r="I146" s="252"/>
      <c r="J146" s="252"/>
      <c r="K146" s="252"/>
      <c r="L146" s="252"/>
      <c r="M146" s="246"/>
      <c r="N146" s="247"/>
      <c r="O146" s="247"/>
    </row>
    <row r="147" spans="1:15" s="250" customFormat="1" ht="18" customHeight="1">
      <c r="A147" s="251"/>
      <c r="B147" s="251"/>
      <c r="C147" s="253"/>
      <c r="D147" s="254"/>
      <c r="E147" s="249"/>
      <c r="F147" s="252"/>
      <c r="G147" s="252"/>
      <c r="H147" s="252"/>
      <c r="I147" s="252"/>
      <c r="J147" s="252"/>
      <c r="K147" s="252"/>
      <c r="L147" s="252"/>
      <c r="M147" s="246"/>
      <c r="N147" s="247"/>
      <c r="O147" s="247"/>
    </row>
    <row r="148" spans="1:15" s="250" customFormat="1" ht="14.25">
      <c r="A148" s="251"/>
      <c r="B148" s="251"/>
      <c r="C148" s="253"/>
      <c r="D148" s="254"/>
      <c r="E148" s="252"/>
      <c r="F148" s="252"/>
      <c r="G148" s="252"/>
      <c r="H148" s="252"/>
      <c r="I148" s="252"/>
      <c r="J148" s="252"/>
      <c r="K148" s="249"/>
      <c r="L148" s="246"/>
      <c r="M148" s="246"/>
      <c r="N148" s="247"/>
      <c r="O148" s="247"/>
    </row>
    <row r="149" spans="1:15" s="250" customFormat="1" ht="14.25">
      <c r="A149" s="251"/>
      <c r="B149" s="251"/>
      <c r="C149" s="253"/>
      <c r="D149" s="254"/>
      <c r="E149" s="252"/>
      <c r="F149" s="252"/>
      <c r="G149" s="252"/>
      <c r="H149" s="252"/>
      <c r="I149" s="252"/>
      <c r="J149" s="252"/>
      <c r="K149" s="249"/>
      <c r="L149" s="246"/>
      <c r="M149" s="246"/>
      <c r="N149" s="247"/>
      <c r="O149" s="247"/>
    </row>
    <row r="150" spans="1:11" ht="12.75">
      <c r="A150" s="24"/>
      <c r="B150" s="24"/>
      <c r="C150" s="78"/>
      <c r="D150" s="79"/>
      <c r="E150" s="75"/>
      <c r="F150" s="75"/>
      <c r="G150" s="75"/>
      <c r="H150" s="75"/>
      <c r="I150" s="75"/>
      <c r="J150" s="75"/>
      <c r="K150" s="29"/>
    </row>
    <row r="151" spans="1:11" ht="12.75">
      <c r="A151" s="24"/>
      <c r="B151" s="24"/>
      <c r="C151" s="78"/>
      <c r="D151" s="79"/>
      <c r="E151" s="75"/>
      <c r="F151" s="75"/>
      <c r="G151" s="75"/>
      <c r="H151" s="75"/>
      <c r="I151" s="75"/>
      <c r="J151" s="75"/>
      <c r="K151" s="29"/>
    </row>
    <row r="152" spans="1:11" ht="12.75">
      <c r="A152" s="24"/>
      <c r="B152" s="24"/>
      <c r="C152" s="24"/>
      <c r="D152" s="27"/>
      <c r="F152" s="29"/>
      <c r="G152" s="29"/>
      <c r="H152" s="29"/>
      <c r="J152" s="29"/>
      <c r="K152" s="29"/>
    </row>
    <row r="153" spans="1:11" ht="12.75">
      <c r="A153" s="24"/>
      <c r="B153" s="24"/>
      <c r="C153" s="24"/>
      <c r="D153" s="27"/>
      <c r="F153" s="29"/>
      <c r="G153" s="29"/>
      <c r="H153" s="29"/>
      <c r="J153" s="29"/>
      <c r="K153" s="29"/>
    </row>
    <row r="154" spans="1:11" ht="12.75">
      <c r="A154" s="24"/>
      <c r="B154" s="24"/>
      <c r="C154" s="24"/>
      <c r="D154" s="27"/>
      <c r="F154" s="29"/>
      <c r="G154" s="29"/>
      <c r="H154" s="29"/>
      <c r="J154" s="29"/>
      <c r="K154" s="29"/>
    </row>
    <row r="155" spans="1:11" ht="12.75">
      <c r="A155" s="24"/>
      <c r="B155" s="24"/>
      <c r="C155" s="24"/>
      <c r="D155" s="27"/>
      <c r="F155" s="29"/>
      <c r="G155" s="29"/>
      <c r="H155" s="29"/>
      <c r="J155" s="29"/>
      <c r="K155" s="29"/>
    </row>
    <row r="156" spans="1:11" ht="12.75">
      <c r="A156" s="24"/>
      <c r="B156" s="24"/>
      <c r="C156" s="24"/>
      <c r="D156" s="27"/>
      <c r="F156" s="29"/>
      <c r="G156" s="29"/>
      <c r="H156" s="29"/>
      <c r="J156" s="29"/>
      <c r="K156" s="29"/>
    </row>
    <row r="157" spans="1:11" ht="12.75">
      <c r="A157" s="24"/>
      <c r="B157" s="24"/>
      <c r="C157" s="24"/>
      <c r="D157" s="27"/>
      <c r="F157" s="29"/>
      <c r="G157" s="29"/>
      <c r="H157" s="29"/>
      <c r="J157" s="29"/>
      <c r="K157" s="29"/>
    </row>
    <row r="158" spans="1:11" ht="12.75">
      <c r="A158" s="24"/>
      <c r="B158" s="24"/>
      <c r="C158" s="24"/>
      <c r="D158" s="27"/>
      <c r="F158" s="29"/>
      <c r="G158" s="29"/>
      <c r="H158" s="29"/>
      <c r="J158" s="29"/>
      <c r="K158" s="29"/>
    </row>
    <row r="159" spans="1:4" ht="12.75">
      <c r="A159" s="24"/>
      <c r="B159" s="24"/>
      <c r="C159" s="24"/>
      <c r="D159" s="27"/>
    </row>
    <row r="160" spans="1:4" ht="12.75">
      <c r="A160" s="24"/>
      <c r="B160" s="24"/>
      <c r="C160" s="24"/>
      <c r="D160" s="27"/>
    </row>
    <row r="161" spans="1:4" ht="12.75">
      <c r="A161" s="24"/>
      <c r="B161" s="24"/>
      <c r="C161" s="24"/>
      <c r="D161" s="27"/>
    </row>
    <row r="162" spans="1:4" ht="12.75">
      <c r="A162" s="24"/>
      <c r="B162" s="24"/>
      <c r="C162" s="24"/>
      <c r="D162" s="27"/>
    </row>
    <row r="163" spans="1:4" ht="12.75">
      <c r="A163" s="24"/>
      <c r="B163" s="24"/>
      <c r="C163" s="24"/>
      <c r="D163" s="27"/>
    </row>
    <row r="164" spans="1:4" ht="12.75">
      <c r="A164" s="24"/>
      <c r="B164" s="24"/>
      <c r="C164" s="24"/>
      <c r="D164" s="27"/>
    </row>
    <row r="165" spans="1:4" ht="12.75">
      <c r="A165" s="24"/>
      <c r="B165" s="24"/>
      <c r="C165" s="24"/>
      <c r="D165" s="27"/>
    </row>
    <row r="166" spans="1:4" ht="12.75">
      <c r="A166" s="24"/>
      <c r="B166" s="24"/>
      <c r="C166" s="24"/>
      <c r="D166" s="27"/>
    </row>
    <row r="167" spans="1:4" ht="12.75">
      <c r="A167" s="24"/>
      <c r="B167" s="24"/>
      <c r="C167" s="24"/>
      <c r="D167" s="27"/>
    </row>
    <row r="168" spans="1:4" ht="12.75">
      <c r="A168" s="24"/>
      <c r="B168" s="24"/>
      <c r="C168" s="24"/>
      <c r="D168" s="27"/>
    </row>
    <row r="169" spans="1:4" ht="12.75">
      <c r="A169" s="24"/>
      <c r="B169" s="24"/>
      <c r="C169" s="24"/>
      <c r="D169" s="27"/>
    </row>
    <row r="170" spans="1:4" ht="12.75">
      <c r="A170" s="24"/>
      <c r="B170" s="24"/>
      <c r="C170" s="24"/>
      <c r="D170" s="27"/>
    </row>
    <row r="171" spans="1:4" ht="12.75">
      <c r="A171" s="24"/>
      <c r="B171" s="24"/>
      <c r="C171" s="24"/>
      <c r="D171" s="27"/>
    </row>
    <row r="172" spans="1:4" ht="12.75">
      <c r="A172" s="24"/>
      <c r="B172" s="24"/>
      <c r="C172" s="24"/>
      <c r="D172" s="27"/>
    </row>
    <row r="173" spans="1:4" ht="12.75">
      <c r="A173" s="24"/>
      <c r="B173" s="24"/>
      <c r="C173" s="24"/>
      <c r="D173" s="27"/>
    </row>
    <row r="174" spans="1:4" ht="12.75">
      <c r="A174" s="24"/>
      <c r="B174" s="24"/>
      <c r="C174" s="24"/>
      <c r="D174" s="27"/>
    </row>
    <row r="175" spans="1:4" ht="12.75">
      <c r="A175" s="24"/>
      <c r="B175" s="24"/>
      <c r="C175" s="24"/>
      <c r="D175" s="27"/>
    </row>
    <row r="176" spans="1:4" ht="12.75">
      <c r="A176" s="24"/>
      <c r="B176" s="24"/>
      <c r="C176" s="24"/>
      <c r="D176" s="27"/>
    </row>
    <row r="177" spans="1:4" ht="12.75">
      <c r="A177" s="24"/>
      <c r="B177" s="24"/>
      <c r="C177" s="24"/>
      <c r="D177" s="27"/>
    </row>
    <row r="178" spans="1:4" ht="12.75">
      <c r="A178" s="24"/>
      <c r="B178" s="24"/>
      <c r="C178" s="24"/>
      <c r="D178" s="27"/>
    </row>
    <row r="179" spans="1:4" ht="12.75">
      <c r="A179" s="24"/>
      <c r="B179" s="24"/>
      <c r="C179" s="24"/>
      <c r="D179" s="27"/>
    </row>
    <row r="180" spans="1:4" ht="12.75">
      <c r="A180" s="24"/>
      <c r="B180" s="24"/>
      <c r="C180" s="24"/>
      <c r="D180" s="27"/>
    </row>
    <row r="181" spans="1:4" ht="12.75">
      <c r="A181" s="24"/>
      <c r="B181" s="24"/>
      <c r="C181" s="24"/>
      <c r="D181" s="27"/>
    </row>
    <row r="182" spans="1:4" ht="12.75">
      <c r="A182" s="24"/>
      <c r="B182" s="24"/>
      <c r="C182" s="24"/>
      <c r="D182" s="27"/>
    </row>
    <row r="183" spans="1:4" ht="12.75">
      <c r="A183" s="24"/>
      <c r="B183" s="24"/>
      <c r="C183" s="24"/>
      <c r="D183" s="27"/>
    </row>
    <row r="184" spans="1:4" ht="12.75">
      <c r="A184" s="24"/>
      <c r="B184" s="24"/>
      <c r="C184" s="24"/>
      <c r="D184" s="27"/>
    </row>
    <row r="185" spans="1:11" ht="12.75">
      <c r="A185" s="24"/>
      <c r="B185" s="24"/>
      <c r="C185" s="24"/>
      <c r="D185" s="79"/>
      <c r="E185" s="75"/>
      <c r="F185" s="75"/>
      <c r="G185" s="75"/>
      <c r="H185" s="75"/>
      <c r="I185" s="75"/>
      <c r="J185" s="75"/>
      <c r="K185" s="75"/>
    </row>
    <row r="186" spans="1:11" ht="12.75">
      <c r="A186" s="24"/>
      <c r="B186" s="24"/>
      <c r="C186" s="24"/>
      <c r="D186" s="79"/>
      <c r="E186" s="75"/>
      <c r="F186" s="75"/>
      <c r="G186" s="75"/>
      <c r="H186" s="75"/>
      <c r="I186" s="75"/>
      <c r="J186" s="75"/>
      <c r="K186" s="75"/>
    </row>
    <row r="187" spans="1:11" ht="12.75">
      <c r="A187" s="24"/>
      <c r="B187" s="24"/>
      <c r="C187" s="24"/>
      <c r="D187" s="79"/>
      <c r="E187" s="75"/>
      <c r="F187" s="75"/>
      <c r="G187" s="75"/>
      <c r="H187" s="75"/>
      <c r="I187" s="75"/>
      <c r="J187" s="75"/>
      <c r="K187" s="75"/>
    </row>
    <row r="188" spans="1:11" ht="12.75">
      <c r="A188" s="24"/>
      <c r="B188" s="24"/>
      <c r="C188" s="24"/>
      <c r="D188" s="79"/>
      <c r="E188" s="75"/>
      <c r="F188" s="75"/>
      <c r="G188" s="75"/>
      <c r="H188" s="75"/>
      <c r="I188" s="75"/>
      <c r="J188" s="75"/>
      <c r="K188" s="75"/>
    </row>
    <row r="189" spans="1:12" ht="12.75">
      <c r="A189" s="24"/>
      <c r="B189" s="24"/>
      <c r="C189" s="24"/>
      <c r="D189" s="79"/>
      <c r="E189" s="75"/>
      <c r="F189" s="75"/>
      <c r="G189" s="75"/>
      <c r="H189" s="75"/>
      <c r="I189" s="75"/>
      <c r="J189" s="75"/>
      <c r="K189" s="75"/>
      <c r="L189" s="80"/>
    </row>
    <row r="190" spans="1:12" ht="12.75">
      <c r="A190" s="24"/>
      <c r="B190" s="24"/>
      <c r="C190" s="24"/>
      <c r="D190" s="79"/>
      <c r="E190" s="75"/>
      <c r="F190" s="75"/>
      <c r="G190" s="75"/>
      <c r="H190" s="75"/>
      <c r="I190" s="75"/>
      <c r="J190" s="75"/>
      <c r="K190" s="75"/>
      <c r="L190" s="80"/>
    </row>
    <row r="191" spans="1:11" ht="12.75">
      <c r="A191" s="24"/>
      <c r="B191" s="24"/>
      <c r="C191" s="24"/>
      <c r="D191" s="27"/>
      <c r="E191" s="75"/>
      <c r="F191" s="75"/>
      <c r="G191" s="75"/>
      <c r="H191" s="75"/>
      <c r="I191" s="75"/>
      <c r="J191" s="75"/>
      <c r="K191" s="75"/>
    </row>
    <row r="192" spans="1:11" ht="12.75">
      <c r="A192" s="24"/>
      <c r="B192" s="24"/>
      <c r="C192" s="24"/>
      <c r="D192" s="27"/>
      <c r="E192" s="75"/>
      <c r="F192" s="75"/>
      <c r="G192" s="75"/>
      <c r="H192" s="75"/>
      <c r="I192" s="75"/>
      <c r="J192" s="75"/>
      <c r="K192" s="75"/>
    </row>
    <row r="193" spans="1:11" ht="12.75">
      <c r="A193" s="24"/>
      <c r="B193" s="24"/>
      <c r="C193" s="24"/>
      <c r="D193" s="27"/>
      <c r="E193" s="75"/>
      <c r="F193" s="75"/>
      <c r="G193" s="75"/>
      <c r="H193" s="75"/>
      <c r="I193" s="75"/>
      <c r="J193" s="75"/>
      <c r="K193" s="75"/>
    </row>
    <row r="194" spans="1:11" ht="12.75">
      <c r="A194" s="24"/>
      <c r="B194" s="24"/>
      <c r="C194" s="24"/>
      <c r="D194" s="27"/>
      <c r="E194" s="75"/>
      <c r="F194" s="75"/>
      <c r="G194" s="75"/>
      <c r="H194" s="75"/>
      <c r="I194" s="75"/>
      <c r="J194" s="75"/>
      <c r="K194" s="75"/>
    </row>
    <row r="195" spans="1:11" ht="12.75">
      <c r="A195" s="24"/>
      <c r="B195" s="24"/>
      <c r="C195" s="24"/>
      <c r="D195" s="27"/>
      <c r="E195" s="75"/>
      <c r="F195" s="75"/>
      <c r="G195" s="75"/>
      <c r="H195" s="75"/>
      <c r="I195" s="75"/>
      <c r="J195" s="75"/>
      <c r="K195" s="75"/>
    </row>
    <row r="196" spans="1:11" ht="12.75">
      <c r="A196" s="24"/>
      <c r="B196" s="24"/>
      <c r="C196" s="24"/>
      <c r="D196" s="27"/>
      <c r="E196" s="75"/>
      <c r="F196" s="75"/>
      <c r="G196" s="75"/>
      <c r="H196" s="75"/>
      <c r="I196" s="75"/>
      <c r="J196" s="75"/>
      <c r="K196" s="75"/>
    </row>
    <row r="197" spans="1:11" ht="12.75">
      <c r="A197" s="24"/>
      <c r="B197" s="24"/>
      <c r="C197" s="24"/>
      <c r="D197" s="27"/>
      <c r="E197" s="75"/>
      <c r="F197" s="75"/>
      <c r="G197" s="75"/>
      <c r="H197" s="75"/>
      <c r="I197" s="75"/>
      <c r="J197" s="75"/>
      <c r="K197" s="75"/>
    </row>
    <row r="198" spans="1:11" ht="12.75">
      <c r="A198" s="24"/>
      <c r="B198" s="24"/>
      <c r="C198" s="24"/>
      <c r="D198" s="27"/>
      <c r="E198" s="75"/>
      <c r="F198" s="75"/>
      <c r="G198" s="75"/>
      <c r="H198" s="75"/>
      <c r="I198" s="75"/>
      <c r="J198" s="75"/>
      <c r="K198" s="75"/>
    </row>
    <row r="199" spans="1:4" ht="12.75">
      <c r="A199" s="24"/>
      <c r="B199" s="24"/>
      <c r="C199" s="24"/>
      <c r="D199" s="27"/>
    </row>
    <row r="200" spans="1:4" ht="12.75">
      <c r="A200" s="24"/>
      <c r="B200" s="24"/>
      <c r="C200" s="24"/>
      <c r="D200" s="27"/>
    </row>
    <row r="201" spans="1:4" ht="12.75">
      <c r="A201" s="24"/>
      <c r="B201" s="24"/>
      <c r="C201" s="24"/>
      <c r="D201" s="27"/>
    </row>
    <row r="202" spans="1:4" ht="12.75">
      <c r="A202" s="24"/>
      <c r="B202" s="24"/>
      <c r="C202" s="24"/>
      <c r="D202" s="27"/>
    </row>
    <row r="203" spans="1:4" ht="12.75">
      <c r="A203" s="24"/>
      <c r="B203" s="24"/>
      <c r="C203" s="24"/>
      <c r="D203" s="27"/>
    </row>
    <row r="204" spans="1:4" ht="12.75">
      <c r="A204" s="24"/>
      <c r="B204" s="24"/>
      <c r="C204" s="24"/>
      <c r="D204" s="27"/>
    </row>
    <row r="205" spans="1:4" ht="12.75">
      <c r="A205" s="24"/>
      <c r="B205" s="24"/>
      <c r="C205" s="24"/>
      <c r="D205" s="27"/>
    </row>
    <row r="206" spans="1:4" ht="12.75">
      <c r="A206" s="24"/>
      <c r="B206" s="24"/>
      <c r="C206" s="24"/>
      <c r="D206" s="27"/>
    </row>
    <row r="207" spans="1:4" ht="12.75">
      <c r="A207" s="24"/>
      <c r="B207" s="24"/>
      <c r="C207" s="24"/>
      <c r="D207" s="27"/>
    </row>
    <row r="208" spans="1:4" ht="12.75">
      <c r="A208" s="24"/>
      <c r="B208" s="24"/>
      <c r="C208" s="24"/>
      <c r="D208" s="27"/>
    </row>
    <row r="209" spans="1:4" ht="12.75">
      <c r="A209" s="24"/>
      <c r="B209" s="24"/>
      <c r="C209" s="24"/>
      <c r="D209" s="27"/>
    </row>
    <row r="210" spans="1:4" ht="12.75">
      <c r="A210" s="24"/>
      <c r="B210" s="24"/>
      <c r="C210" s="24"/>
      <c r="D210" s="27"/>
    </row>
    <row r="211" spans="1:4" ht="12.75">
      <c r="A211" s="24"/>
      <c r="B211" s="24"/>
      <c r="C211" s="24"/>
      <c r="D211" s="27"/>
    </row>
    <row r="212" spans="1:4" ht="12.75">
      <c r="A212" s="24"/>
      <c r="B212" s="24"/>
      <c r="C212" s="24"/>
      <c r="D212" s="27"/>
    </row>
    <row r="213" spans="1:4" ht="12.75">
      <c r="A213" s="24"/>
      <c r="B213" s="24"/>
      <c r="C213" s="24"/>
      <c r="D213" s="27"/>
    </row>
    <row r="214" spans="1:4" ht="12.75">
      <c r="A214" s="24"/>
      <c r="B214" s="24"/>
      <c r="C214" s="24"/>
      <c r="D214" s="27"/>
    </row>
    <row r="215" spans="1:4" ht="12.75">
      <c r="A215" s="24"/>
      <c r="B215" s="24"/>
      <c r="C215" s="24"/>
      <c r="D215" s="27"/>
    </row>
    <row r="216" spans="1:4" ht="12.75">
      <c r="A216" s="24"/>
      <c r="B216" s="24"/>
      <c r="C216" s="24"/>
      <c r="D216" s="27"/>
    </row>
    <row r="217" spans="1:4" ht="12.75">
      <c r="A217" s="24"/>
      <c r="B217" s="24"/>
      <c r="C217" s="24"/>
      <c r="D217" s="27"/>
    </row>
    <row r="218" spans="1:4" ht="12.75">
      <c r="A218" s="24"/>
      <c r="B218" s="24"/>
      <c r="C218" s="24"/>
      <c r="D218" s="27"/>
    </row>
    <row r="219" spans="1:4" ht="12.75">
      <c r="A219" s="24"/>
      <c r="B219" s="24"/>
      <c r="C219" s="24"/>
      <c r="D219" s="27"/>
    </row>
    <row r="220" spans="1:4" ht="12.75">
      <c r="A220" s="24"/>
      <c r="B220" s="24"/>
      <c r="C220" s="24"/>
      <c r="D220" s="27"/>
    </row>
    <row r="221" spans="1:4" ht="12.75">
      <c r="A221" s="24"/>
      <c r="B221" s="24"/>
      <c r="C221" s="24"/>
      <c r="D221" s="27"/>
    </row>
    <row r="222" spans="1:4" ht="12.75">
      <c r="A222" s="24"/>
      <c r="B222" s="24"/>
      <c r="C222" s="24"/>
      <c r="D222" s="27"/>
    </row>
    <row r="223" spans="1:4" ht="12.75">
      <c r="A223" s="24"/>
      <c r="B223" s="24"/>
      <c r="C223" s="24"/>
      <c r="D223" s="27"/>
    </row>
    <row r="224" spans="1:4" ht="12.75">
      <c r="A224" s="24"/>
      <c r="B224" s="24"/>
      <c r="C224" s="24"/>
      <c r="D224" s="27"/>
    </row>
    <row r="225" spans="1:4" ht="12.75">
      <c r="A225" s="24"/>
      <c r="B225" s="24"/>
      <c r="C225" s="24"/>
      <c r="D225" s="27"/>
    </row>
    <row r="226" spans="1:4" ht="12.75">
      <c r="A226" s="24"/>
      <c r="B226" s="24"/>
      <c r="C226" s="24"/>
      <c r="D226" s="27"/>
    </row>
    <row r="227" spans="1:4" ht="12.75">
      <c r="A227" s="24"/>
      <c r="B227" s="24"/>
      <c r="C227" s="24"/>
      <c r="D227" s="27"/>
    </row>
    <row r="228" spans="1:4" ht="12.75">
      <c r="A228" s="24"/>
      <c r="B228" s="24"/>
      <c r="C228" s="24"/>
      <c r="D228" s="27"/>
    </row>
    <row r="229" spans="1:4" ht="12.75">
      <c r="A229" s="24"/>
      <c r="B229" s="24"/>
      <c r="C229" s="24"/>
      <c r="D229" s="27"/>
    </row>
    <row r="230" spans="1:4" ht="12.75">
      <c r="A230" s="24"/>
      <c r="B230" s="24"/>
      <c r="C230" s="24"/>
      <c r="D230" s="27"/>
    </row>
    <row r="231" spans="1:4" ht="12.75">
      <c r="A231" s="24"/>
      <c r="B231" s="24"/>
      <c r="C231" s="24"/>
      <c r="D231" s="27"/>
    </row>
    <row r="232" spans="1:4" ht="12.75">
      <c r="A232" s="24"/>
      <c r="B232" s="24"/>
      <c r="C232" s="24"/>
      <c r="D232" s="27"/>
    </row>
    <row r="233" spans="1:4" ht="12.75">
      <c r="A233" s="24"/>
      <c r="B233" s="24"/>
      <c r="C233" s="24"/>
      <c r="D233" s="27"/>
    </row>
    <row r="234" spans="1:4" ht="12.75">
      <c r="A234" s="24"/>
      <c r="B234" s="24"/>
      <c r="C234" s="24"/>
      <c r="D234" s="27"/>
    </row>
    <row r="235" spans="1:4" ht="12.75">
      <c r="A235" s="24"/>
      <c r="B235" s="24"/>
      <c r="C235" s="24"/>
      <c r="D235" s="27"/>
    </row>
    <row r="236" spans="1:4" ht="12.75">
      <c r="A236" s="24"/>
      <c r="B236" s="24"/>
      <c r="C236" s="24"/>
      <c r="D236" s="27"/>
    </row>
    <row r="237" spans="1:4" ht="12.75">
      <c r="A237" s="24"/>
      <c r="B237" s="24"/>
      <c r="C237" s="24"/>
      <c r="D237" s="27"/>
    </row>
    <row r="238" spans="1:4" ht="12.75">
      <c r="A238" s="24"/>
      <c r="B238" s="24"/>
      <c r="C238" s="24"/>
      <c r="D238" s="27"/>
    </row>
    <row r="239" spans="1:4" ht="12.75">
      <c r="A239" s="24"/>
      <c r="B239" s="24"/>
      <c r="C239" s="24"/>
      <c r="D239" s="27"/>
    </row>
    <row r="240" spans="1:4" ht="12.75">
      <c r="A240" s="24"/>
      <c r="B240" s="24"/>
      <c r="C240" s="24"/>
      <c r="D240" s="27"/>
    </row>
    <row r="241" spans="1:4" ht="12.75">
      <c r="A241" s="24"/>
      <c r="B241" s="24"/>
      <c r="C241" s="24"/>
      <c r="D241" s="27"/>
    </row>
    <row r="242" spans="1:4" ht="12.75">
      <c r="A242" s="24"/>
      <c r="B242" s="24"/>
      <c r="C242" s="24"/>
      <c r="D242" s="27"/>
    </row>
    <row r="243" spans="1:4" ht="12.75">
      <c r="A243" s="24"/>
      <c r="B243" s="24"/>
      <c r="C243" s="24"/>
      <c r="D243" s="27"/>
    </row>
    <row r="244" spans="1:4" ht="12.75">
      <c r="A244" s="24"/>
      <c r="B244" s="24"/>
      <c r="C244" s="24"/>
      <c r="D244" s="27"/>
    </row>
    <row r="245" spans="1:4" ht="12.75">
      <c r="A245" s="24"/>
      <c r="B245" s="24"/>
      <c r="C245" s="24"/>
      <c r="D245" s="27"/>
    </row>
    <row r="246" spans="1:4" ht="12.75">
      <c r="A246" s="24"/>
      <c r="B246" s="24"/>
      <c r="C246" s="24"/>
      <c r="D246" s="27"/>
    </row>
    <row r="247" spans="1:4" ht="12.75">
      <c r="A247" s="24"/>
      <c r="B247" s="24"/>
      <c r="C247" s="24"/>
      <c r="D247" s="27"/>
    </row>
    <row r="248" spans="1:4" ht="12.75">
      <c r="A248" s="24"/>
      <c r="B248" s="24"/>
      <c r="C248" s="24"/>
      <c r="D248" s="27"/>
    </row>
    <row r="249" spans="1:4" ht="12.75">
      <c r="A249" s="24"/>
      <c r="B249" s="24"/>
      <c r="C249" s="24"/>
      <c r="D249" s="27"/>
    </row>
    <row r="250" spans="1:4" ht="12.75">
      <c r="A250" s="24"/>
      <c r="B250" s="24"/>
      <c r="C250" s="24"/>
      <c r="D250" s="27"/>
    </row>
  </sheetData>
  <sheetProtection/>
  <mergeCells count="94">
    <mergeCell ref="I10:I11"/>
    <mergeCell ref="E10:E11"/>
    <mergeCell ref="M8:M10"/>
    <mergeCell ref="A12:B12"/>
    <mergeCell ref="A16:B16"/>
    <mergeCell ref="A18:B18"/>
    <mergeCell ref="E8:G9"/>
    <mergeCell ref="H8:H11"/>
    <mergeCell ref="I8:K9"/>
    <mergeCell ref="L8:L10"/>
    <mergeCell ref="A8:B10"/>
    <mergeCell ref="A13:B13"/>
    <mergeCell ref="A14:B14"/>
    <mergeCell ref="A17:B17"/>
    <mergeCell ref="A15:B15"/>
    <mergeCell ref="G2:H2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52:B52"/>
    <mergeCell ref="A54:B54"/>
    <mergeCell ref="A57:B57"/>
    <mergeCell ref="A58:B58"/>
    <mergeCell ref="A53:B53"/>
    <mergeCell ref="A59:B59"/>
    <mergeCell ref="A60:B60"/>
    <mergeCell ref="A74:B74"/>
    <mergeCell ref="A61:B61"/>
    <mergeCell ref="A62:B62"/>
    <mergeCell ref="A64:B64"/>
    <mergeCell ref="A65:B65"/>
    <mergeCell ref="A66:B66"/>
    <mergeCell ref="A67:B67"/>
    <mergeCell ref="A75:B75"/>
    <mergeCell ref="A76:B76"/>
    <mergeCell ref="A79:B79"/>
    <mergeCell ref="A78:B78"/>
    <mergeCell ref="A68:B68"/>
    <mergeCell ref="A69:B69"/>
    <mergeCell ref="A70:B70"/>
    <mergeCell ref="A71:B71"/>
    <mergeCell ref="A72:B72"/>
    <mergeCell ref="A73:B73"/>
    <mergeCell ref="A81:B81"/>
    <mergeCell ref="A88:B88"/>
    <mergeCell ref="A89:B89"/>
    <mergeCell ref="A90:B90"/>
    <mergeCell ref="A80:B80"/>
    <mergeCell ref="A91:B91"/>
    <mergeCell ref="A92:B92"/>
    <mergeCell ref="A93:B93"/>
    <mergeCell ref="A94:B94"/>
    <mergeCell ref="A95:B95"/>
    <mergeCell ref="A96:B96"/>
    <mergeCell ref="A97:B97"/>
    <mergeCell ref="A98:B98"/>
    <mergeCell ref="A100:B100"/>
    <mergeCell ref="A101:B101"/>
    <mergeCell ref="A102:B102"/>
    <mergeCell ref="A104:B104"/>
    <mergeCell ref="A99:B99"/>
    <mergeCell ref="A105:B105"/>
    <mergeCell ref="A122:B122"/>
    <mergeCell ref="A108:B108"/>
    <mergeCell ref="A109:B109"/>
    <mergeCell ref="A111:B111"/>
    <mergeCell ref="A112:B112"/>
    <mergeCell ref="A113:B113"/>
    <mergeCell ref="A118:B118"/>
    <mergeCell ref="A121:B121"/>
    <mergeCell ref="A123:B123"/>
    <mergeCell ref="A126:B126"/>
    <mergeCell ref="A128:M128"/>
    <mergeCell ref="A132:B132"/>
    <mergeCell ref="A133:D133"/>
    <mergeCell ref="A114:B114"/>
    <mergeCell ref="A115:B115"/>
    <mergeCell ref="A116:B116"/>
    <mergeCell ref="A119:B119"/>
    <mergeCell ref="A120:B120"/>
  </mergeCells>
  <printOptions horizontalCentered="1"/>
  <pageMargins left="0.15748031496062992" right="0.15748031496062992" top="0.7874015748031497" bottom="0.3937007874015748" header="0.5118110236220472" footer="0.5118110236220472"/>
  <pageSetup fitToHeight="0" horizontalDpi="600" verticalDpi="600" orientation="landscape" paperSize="9" scale="60" r:id="rId2"/>
  <headerFooter scaleWithDoc="0">
    <oddFooter>&amp;L&amp;8Publicação: Diário Oficial do Município nº 19
Data: 28.01.2021&amp;R&amp;8&amp;P / &amp;N</oddFooter>
  </headerFooter>
  <rowBreaks count="3" manualBreakCount="3">
    <brk id="45" max="12" man="1"/>
    <brk id="78" max="12" man="1"/>
    <brk id="114" max="12" man="1"/>
  </rowBreaks>
  <ignoredErrors>
    <ignoredError sqref="D13 M17 M20 I17 J70 E62 J31 D46:E46 D88:E88 D90 M75 M70 M62 M57 M46 M35 M31 I46 I90 I88 M90 M88 M97 M102 M106 M108 M120 F17 G12 E75 K126 D106 F106 G126 G1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X86"/>
  <sheetViews>
    <sheetView showGridLines="0" view="pageBreakPreview" zoomScaleSheetLayoutView="100" workbookViewId="0" topLeftCell="A1">
      <selection activeCell="N21" sqref="N21"/>
    </sheetView>
  </sheetViews>
  <sheetFormatPr defaultColWidth="9.140625" defaultRowHeight="15" customHeight="1"/>
  <cols>
    <col min="1" max="1" width="34.140625" style="278" customWidth="1"/>
    <col min="2" max="2" width="13.00390625" style="23" hidden="1" customWidth="1"/>
    <col min="3" max="3" width="2.57421875" style="22" hidden="1" customWidth="1"/>
    <col min="4" max="5" width="14.7109375" style="21" customWidth="1"/>
    <col min="6" max="6" width="15.00390625" style="21" customWidth="1"/>
    <col min="7" max="15" width="14.7109375" style="21" customWidth="1"/>
    <col min="16" max="16" width="16.28125" style="62" customWidth="1"/>
    <col min="17" max="17" width="16.57421875" style="23" customWidth="1"/>
    <col min="18" max="18" width="18.8515625" style="22" customWidth="1"/>
    <col min="19" max="20" width="14.57421875" style="22" customWidth="1"/>
    <col min="21" max="21" width="13.57421875" style="22" bestFit="1" customWidth="1"/>
    <col min="22" max="23" width="11.140625" style="22" bestFit="1" customWidth="1"/>
    <col min="24" max="16384" width="9.140625" style="22" customWidth="1"/>
  </cols>
  <sheetData>
    <row r="1" spans="1:21" ht="15" customHeight="1">
      <c r="A1" s="230" t="s">
        <v>373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1"/>
      <c r="S1" s="21"/>
      <c r="T1" s="21"/>
      <c r="U1" s="21"/>
    </row>
    <row r="2" spans="1:21" ht="15" customHeight="1">
      <c r="A2" s="230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1"/>
      <c r="S2" s="21"/>
      <c r="T2" s="21"/>
      <c r="U2" s="21"/>
    </row>
    <row r="3" spans="1:21" ht="15" customHeight="1">
      <c r="A3" s="231" t="s">
        <v>134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21"/>
      <c r="S3" s="21"/>
      <c r="T3" s="21"/>
      <c r="U3" s="21"/>
    </row>
    <row r="4" spans="1:21" ht="15" customHeight="1">
      <c r="A4" s="233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56"/>
      <c r="S4" s="21"/>
      <c r="T4" s="21"/>
      <c r="U4" s="21"/>
    </row>
    <row r="5" spans="1:21" s="1" customFormat="1" ht="15.75" customHeight="1">
      <c r="A5" s="233" t="str">
        <f>'Anexo 1 _ BAL ORC'!A5:F5</f>
        <v>            Referência: JANEIRO-DEZEMBRO/2020; BIMESTRE: NOVEMBRO-DEZEMBRO/2020</v>
      </c>
      <c r="B5" s="227"/>
      <c r="C5" s="227"/>
      <c r="D5" s="279"/>
      <c r="E5" s="279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1"/>
      <c r="R5" s="14"/>
      <c r="S5" s="14"/>
      <c r="T5" s="14"/>
      <c r="U5" s="13"/>
    </row>
    <row r="6" spans="1:21" ht="15" customHeight="1">
      <c r="A6" s="230"/>
      <c r="B6" s="225"/>
      <c r="C6" s="225"/>
      <c r="D6" s="282"/>
      <c r="E6" s="282"/>
      <c r="F6" s="284"/>
      <c r="G6" s="283"/>
      <c r="H6" s="283"/>
      <c r="I6" s="283"/>
      <c r="J6" s="283"/>
      <c r="K6" s="283"/>
      <c r="L6" s="283"/>
      <c r="M6" s="283"/>
      <c r="N6" s="283"/>
      <c r="O6" s="283"/>
      <c r="P6" s="282"/>
      <c r="Q6" s="285"/>
      <c r="R6" s="30"/>
      <c r="S6" s="30"/>
      <c r="T6" s="30"/>
      <c r="U6" s="21"/>
    </row>
    <row r="7" spans="1:21" ht="15" customHeight="1">
      <c r="A7" s="286" t="s">
        <v>382</v>
      </c>
      <c r="B7" s="287"/>
      <c r="C7" s="158"/>
      <c r="D7" s="283"/>
      <c r="E7" s="283"/>
      <c r="F7" s="283"/>
      <c r="G7" s="343"/>
      <c r="H7" s="343"/>
      <c r="I7" s="343"/>
      <c r="J7" s="343"/>
      <c r="K7" s="343"/>
      <c r="L7" s="343"/>
      <c r="M7" s="343"/>
      <c r="N7" s="343"/>
      <c r="O7" s="343"/>
      <c r="P7" s="288"/>
      <c r="Q7" s="276"/>
      <c r="R7" s="65"/>
      <c r="S7" s="30"/>
      <c r="T7" s="30"/>
      <c r="U7" s="21"/>
    </row>
    <row r="8" spans="1:18" s="61" customFormat="1" ht="15" customHeight="1">
      <c r="A8" s="1658" t="s">
        <v>135</v>
      </c>
      <c r="B8" s="1664"/>
      <c r="C8" s="1665"/>
      <c r="D8" s="1666"/>
      <c r="E8" s="1666"/>
      <c r="F8" s="1666"/>
      <c r="G8" s="1666"/>
      <c r="H8" s="1666"/>
      <c r="I8" s="1666"/>
      <c r="J8" s="1666"/>
      <c r="K8" s="1666"/>
      <c r="L8" s="1666"/>
      <c r="M8" s="1666"/>
      <c r="N8" s="1666"/>
      <c r="O8" s="1667"/>
      <c r="P8" s="1660" t="s">
        <v>434</v>
      </c>
      <c r="Q8" s="1662" t="s">
        <v>922</v>
      </c>
      <c r="R8" s="289"/>
    </row>
    <row r="9" spans="1:18" s="61" customFormat="1" ht="15" customHeight="1">
      <c r="A9" s="1659"/>
      <c r="B9" s="290" t="s">
        <v>136</v>
      </c>
      <c r="C9" s="290" t="s">
        <v>137</v>
      </c>
      <c r="D9" s="1403" t="s">
        <v>743</v>
      </c>
      <c r="E9" s="1403" t="s">
        <v>744</v>
      </c>
      <c r="F9" s="1403" t="s">
        <v>920</v>
      </c>
      <c r="G9" s="1404" t="s">
        <v>921</v>
      </c>
      <c r="H9" s="1403" t="s">
        <v>925</v>
      </c>
      <c r="I9" s="1403" t="s">
        <v>926</v>
      </c>
      <c r="J9" s="1402" t="s">
        <v>927</v>
      </c>
      <c r="K9" s="1402" t="s">
        <v>928</v>
      </c>
      <c r="L9" s="1430" t="s">
        <v>943</v>
      </c>
      <c r="M9" s="1430" t="s">
        <v>944</v>
      </c>
      <c r="N9" s="1403" t="s">
        <v>949</v>
      </c>
      <c r="O9" s="1403" t="s">
        <v>950</v>
      </c>
      <c r="P9" s="1661"/>
      <c r="Q9" s="1663"/>
      <c r="R9" s="291"/>
    </row>
    <row r="10" spans="1:21" s="309" customFormat="1" ht="19.5" customHeight="1">
      <c r="A10" s="1068" t="s">
        <v>138</v>
      </c>
      <c r="B10" s="302">
        <f>B11+B17+B18+B21+B22+B31</f>
        <v>127873694.01</v>
      </c>
      <c r="C10" s="302">
        <f>C11+C17+C18+C21+C22+C31</f>
        <v>130000401.16999999</v>
      </c>
      <c r="D10" s="304">
        <f>D11+D17+D18+D21+D22+D31</f>
        <v>295601731.89000005</v>
      </c>
      <c r="E10" s="303">
        <f>E11+E17+E18+E21+E22+E31</f>
        <v>278616732.51</v>
      </c>
      <c r="F10" s="303">
        <f aca="true" t="shared" si="0" ref="F10:K10">F11+F17+F18+F21+F22+F31</f>
        <v>252408630.85000002</v>
      </c>
      <c r="G10" s="303">
        <f t="shared" si="0"/>
        <v>245069747.98000002</v>
      </c>
      <c r="H10" s="303">
        <f t="shared" si="0"/>
        <v>227081984.92</v>
      </c>
      <c r="I10" s="303">
        <f t="shared" si="0"/>
        <v>270678544.52000004</v>
      </c>
      <c r="J10" s="303">
        <f t="shared" si="0"/>
        <v>377225935.34999996</v>
      </c>
      <c r="K10" s="303">
        <f t="shared" si="0"/>
        <v>380592167.94000006</v>
      </c>
      <c r="L10" s="878">
        <f aca="true" t="shared" si="1" ref="L10:Q10">L11+L17+L18+L21+L22+L31</f>
        <v>293098298.47999996</v>
      </c>
      <c r="M10" s="878">
        <f t="shared" si="1"/>
        <v>303257848.83000004</v>
      </c>
      <c r="N10" s="304">
        <f t="shared" si="1"/>
        <v>293352572.71</v>
      </c>
      <c r="O10" s="303">
        <f t="shared" si="1"/>
        <v>378732173.75</v>
      </c>
      <c r="P10" s="879">
        <f t="shared" si="1"/>
        <v>3595716369.7299995</v>
      </c>
      <c r="Q10" s="1064">
        <f t="shared" si="1"/>
        <v>3774725300.28</v>
      </c>
      <c r="R10" s="305"/>
      <c r="S10" s="306"/>
      <c r="T10" s="307"/>
      <c r="U10" s="308"/>
    </row>
    <row r="11" spans="1:30" s="309" customFormat="1" ht="19.5" customHeight="1">
      <c r="A11" s="1069" t="s">
        <v>604</v>
      </c>
      <c r="B11" s="310">
        <f>B12+B13+B14+B16+B15</f>
        <v>34116237.169999994</v>
      </c>
      <c r="C11" s="310">
        <f>C12+C13+C14+C16+C15</f>
        <v>26251771.72</v>
      </c>
      <c r="D11" s="312">
        <f>D12+D13+D14+D15+D16</f>
        <v>68309951.61</v>
      </c>
      <c r="E11" s="311">
        <f>E12+E13+E14+E15+E16</f>
        <v>52541432.07999999</v>
      </c>
      <c r="F11" s="311">
        <f aca="true" t="shared" si="2" ref="F11:M11">F12+F13+F14+F15+F16</f>
        <v>58111218.81000001</v>
      </c>
      <c r="G11" s="311">
        <f t="shared" si="2"/>
        <v>47508513.18</v>
      </c>
      <c r="H11" s="311">
        <f t="shared" si="2"/>
        <v>49909502.54</v>
      </c>
      <c r="I11" s="311">
        <f t="shared" si="2"/>
        <v>60042841.05</v>
      </c>
      <c r="J11" s="311">
        <f t="shared" si="2"/>
        <v>109706365.11</v>
      </c>
      <c r="K11" s="311">
        <f t="shared" si="2"/>
        <v>70354428.84</v>
      </c>
      <c r="L11" s="311">
        <f t="shared" si="2"/>
        <v>84061558.20999998</v>
      </c>
      <c r="M11" s="311">
        <f t="shared" si="2"/>
        <v>82084797.77</v>
      </c>
      <c r="N11" s="312">
        <f>N12+N13+N14+N15+N16</f>
        <v>79868696.7</v>
      </c>
      <c r="O11" s="311">
        <f>O12+O13+O14+O15+O16</f>
        <v>99632884.73999998</v>
      </c>
      <c r="P11" s="311">
        <f>P12+P13+P14+P15+P16</f>
        <v>862132190.6399999</v>
      </c>
      <c r="Q11" s="312">
        <f>Q12+Q13+Q14+Q15+Q16</f>
        <v>891762815</v>
      </c>
      <c r="R11" s="313"/>
      <c r="S11" s="314"/>
      <c r="T11" s="315"/>
      <c r="U11" s="316"/>
      <c r="V11" s="18"/>
      <c r="W11" s="18"/>
      <c r="X11" s="18"/>
      <c r="Y11" s="18"/>
      <c r="Z11" s="18"/>
      <c r="AA11" s="18"/>
      <c r="AB11" s="18"/>
      <c r="AC11" s="18"/>
      <c r="AD11" s="18"/>
    </row>
    <row r="12" spans="1:21" s="321" customFormat="1" ht="19.5" customHeight="1">
      <c r="A12" s="1137" t="s">
        <v>615</v>
      </c>
      <c r="B12" s="317">
        <v>10930798.32</v>
      </c>
      <c r="C12" s="317">
        <v>2532213.38</v>
      </c>
      <c r="D12" s="1160">
        <f>3878141.84-4363.58</f>
        <v>3873778.26</v>
      </c>
      <c r="E12" s="1160">
        <f>3069656.03-1385.05</f>
        <v>3068270.98</v>
      </c>
      <c r="F12" s="1160">
        <f>3460454.49</f>
        <v>3460454.49</v>
      </c>
      <c r="G12" s="1160">
        <f>1562698.43</f>
        <v>1562698.43</v>
      </c>
      <c r="H12" s="1160">
        <v>1714148.93</v>
      </c>
      <c r="I12" s="1160">
        <v>7533445.25</v>
      </c>
      <c r="J12" s="1160">
        <f>51775535.98</f>
        <v>51775535.98</v>
      </c>
      <c r="K12" s="1160">
        <f>12757863.06-671.02</f>
        <v>12757192.040000001</v>
      </c>
      <c r="L12" s="1160">
        <f>13087961.56</f>
        <v>13087961.56</v>
      </c>
      <c r="M12" s="1160">
        <f>9694292.45-779.2</f>
        <v>9693513.25</v>
      </c>
      <c r="N12" s="1160">
        <f>8134711.51-2230.29</f>
        <v>8132481.22</v>
      </c>
      <c r="O12" s="1160">
        <f>13819854.77-13473.88</f>
        <v>13806380.889999999</v>
      </c>
      <c r="P12" s="319">
        <f aca="true" t="shared" si="3" ref="P12:P17">SUM(D12:O12)</f>
        <v>130465861.28</v>
      </c>
      <c r="Q12" s="334">
        <v>129234886</v>
      </c>
      <c r="R12" s="307"/>
      <c r="S12" s="307"/>
      <c r="T12" s="307"/>
      <c r="U12" s="320"/>
    </row>
    <row r="13" spans="1:23" s="321" customFormat="1" ht="19.5" customHeight="1">
      <c r="A13" s="1137" t="s">
        <v>616</v>
      </c>
      <c r="B13" s="317">
        <v>19872263.16</v>
      </c>
      <c r="C13" s="317">
        <v>20590409.12</v>
      </c>
      <c r="D13" s="1160">
        <v>47880285.92</v>
      </c>
      <c r="E13" s="1160">
        <f>40739202.29-886.52</f>
        <v>40738315.769999996</v>
      </c>
      <c r="F13" s="1160">
        <f>46488442.56</f>
        <v>46488442.56</v>
      </c>
      <c r="G13" s="1160">
        <v>40815210.07</v>
      </c>
      <c r="H13" s="1160">
        <v>41223820.06</v>
      </c>
      <c r="I13" s="1160">
        <f>41168834.28-8509.31</f>
        <v>41160324.97</v>
      </c>
      <c r="J13" s="1160">
        <v>48709742.48</v>
      </c>
      <c r="K13" s="1160">
        <f>50982117.77</f>
        <v>50982117.77</v>
      </c>
      <c r="L13" s="1160">
        <f>54018574.67-71.5</f>
        <v>54018503.17</v>
      </c>
      <c r="M13" s="1160">
        <f>55457483.65-438.39</f>
        <v>55457045.26</v>
      </c>
      <c r="N13" s="1160">
        <f>55967012.34-617.5</f>
        <v>55966394.84</v>
      </c>
      <c r="O13" s="1160">
        <v>63713343.19</v>
      </c>
      <c r="P13" s="869">
        <f t="shared" si="3"/>
        <v>587153546.06</v>
      </c>
      <c r="Q13" s="334">
        <v>607430951</v>
      </c>
      <c r="R13" s="307"/>
      <c r="S13" s="307"/>
      <c r="T13" s="307"/>
      <c r="U13" s="320"/>
      <c r="V13" s="322"/>
      <c r="W13" s="323"/>
    </row>
    <row r="14" spans="1:22" s="321" customFormat="1" ht="19.5" customHeight="1">
      <c r="A14" s="1137" t="s">
        <v>617</v>
      </c>
      <c r="B14" s="317">
        <v>665932.47</v>
      </c>
      <c r="C14" s="317">
        <v>865344.59</v>
      </c>
      <c r="D14" s="1160">
        <f>3165413.49</f>
        <v>3165413.49</v>
      </c>
      <c r="E14" s="1160">
        <f>2092287.17-2370</f>
        <v>2089917.17</v>
      </c>
      <c r="F14" s="1160">
        <f>1625906.35-2621.72</f>
        <v>1623284.6300000001</v>
      </c>
      <c r="G14" s="1160">
        <v>1243521.26</v>
      </c>
      <c r="H14" s="1160">
        <v>940030.82</v>
      </c>
      <c r="I14" s="1160">
        <f>1781348.48-6045.46</f>
        <v>1775303.02</v>
      </c>
      <c r="J14" s="1160">
        <v>3522110.87</v>
      </c>
      <c r="K14" s="1160">
        <v>2834972.19</v>
      </c>
      <c r="L14" s="1160">
        <v>3980690.96</v>
      </c>
      <c r="M14" s="1160">
        <f>3930155.48-1690</f>
        <v>3928465.48</v>
      </c>
      <c r="N14" s="1160">
        <f>3580359.11</f>
        <v>3580359.11</v>
      </c>
      <c r="O14" s="1160">
        <f>4750705.55</f>
        <v>4750705.55</v>
      </c>
      <c r="P14" s="869">
        <f t="shared" si="3"/>
        <v>33434774.55</v>
      </c>
      <c r="Q14" s="1065">
        <v>34284818</v>
      </c>
      <c r="R14" s="307"/>
      <c r="S14" s="307"/>
      <c r="T14" s="307"/>
      <c r="U14" s="320"/>
      <c r="V14" s="322"/>
    </row>
    <row r="15" spans="1:22" s="321" customFormat="1" ht="19.5" customHeight="1">
      <c r="A15" s="1137" t="s">
        <v>618</v>
      </c>
      <c r="B15" s="317">
        <v>1742328.89</v>
      </c>
      <c r="C15" s="317">
        <v>1555745.25</v>
      </c>
      <c r="D15" s="1160">
        <v>9939107.91</v>
      </c>
      <c r="E15" s="1160">
        <v>4078545.39</v>
      </c>
      <c r="F15" s="1160">
        <v>3424068.79</v>
      </c>
      <c r="G15" s="1160">
        <v>3305105.61</v>
      </c>
      <c r="H15" s="1160">
        <v>5584723.53</v>
      </c>
      <c r="I15" s="1160">
        <v>8724445.64</v>
      </c>
      <c r="J15" s="1160">
        <v>4385004.53</v>
      </c>
      <c r="K15" s="1160">
        <f>2808423.41-449.64</f>
        <v>2807973.77</v>
      </c>
      <c r="L15" s="1160">
        <v>11458109.35</v>
      </c>
      <c r="M15" s="1160">
        <f>10331586.48</f>
        <v>10331586.48</v>
      </c>
      <c r="N15" s="1160">
        <v>10997376.79</v>
      </c>
      <c r="O15" s="1160">
        <v>15012059.29</v>
      </c>
      <c r="P15" s="869">
        <f t="shared" si="3"/>
        <v>90048107.08000001</v>
      </c>
      <c r="Q15" s="1065">
        <v>94207607</v>
      </c>
      <c r="R15" s="307"/>
      <c r="S15" s="307"/>
      <c r="T15" s="307"/>
      <c r="U15" s="320"/>
      <c r="V15" s="322"/>
    </row>
    <row r="16" spans="1:22" s="326" customFormat="1" ht="19.5" customHeight="1">
      <c r="A16" s="1137" t="s">
        <v>619</v>
      </c>
      <c r="B16" s="318">
        <v>904914.33</v>
      </c>
      <c r="C16" s="318">
        <v>708059.38</v>
      </c>
      <c r="D16" s="1160">
        <v>3451366.03</v>
      </c>
      <c r="E16" s="1160">
        <f>52546073.65-49975049.31-4641.57</f>
        <v>2566382.7699999963</v>
      </c>
      <c r="F16" s="1160">
        <f>58113840.53-54996250.47-2621.72</f>
        <v>3114968.340000002</v>
      </c>
      <c r="G16" s="1160">
        <f>47508513.18-46926535.37</f>
        <v>581977.8100000024</v>
      </c>
      <c r="H16" s="1160">
        <f>49909502.54-49462723.34</f>
        <v>446779.19999999553</v>
      </c>
      <c r="I16" s="1160">
        <f>60057395.82-59193518.88-14554.77</f>
        <v>849322.1699999976</v>
      </c>
      <c r="J16" s="1160">
        <v>1313971.25</v>
      </c>
      <c r="K16" s="1160">
        <f>70391206.39-69382255.77-36777.55</f>
        <v>972173.0700000047</v>
      </c>
      <c r="L16" s="1160">
        <f>84061629.71-82545265.04-71.5</f>
        <v>1516293.169999987</v>
      </c>
      <c r="M16" s="1160">
        <v>2674187.3</v>
      </c>
      <c r="N16" s="1160">
        <f>79871544.49-78676611.96-2847.79</f>
        <v>1192084.7400000012</v>
      </c>
      <c r="O16" s="1160">
        <f>99455471.57-97091601.87-13473.88</f>
        <v>2350395.819999988</v>
      </c>
      <c r="P16" s="869">
        <f t="shared" si="3"/>
        <v>21029901.669999976</v>
      </c>
      <c r="Q16" s="334">
        <f>891762815-865158262</f>
        <v>26604553</v>
      </c>
      <c r="R16" s="324"/>
      <c r="S16" s="307"/>
      <c r="T16" s="324"/>
      <c r="U16" s="320"/>
      <c r="V16" s="325"/>
    </row>
    <row r="17" spans="1:21" s="18" customFormat="1" ht="19.5" customHeight="1">
      <c r="A17" s="1069" t="s">
        <v>584</v>
      </c>
      <c r="B17" s="310">
        <v>5577502.2</v>
      </c>
      <c r="C17" s="310">
        <v>5595518.79</v>
      </c>
      <c r="D17" s="327">
        <v>13786437.91</v>
      </c>
      <c r="E17" s="327">
        <v>12093536.97</v>
      </c>
      <c r="F17" s="327">
        <v>11040027.49</v>
      </c>
      <c r="G17" s="327">
        <v>12235452.06</v>
      </c>
      <c r="H17" s="327">
        <v>8426392.22</v>
      </c>
      <c r="I17" s="327">
        <v>6441911.47</v>
      </c>
      <c r="J17" s="327">
        <v>14935035.63</v>
      </c>
      <c r="K17" s="327">
        <v>11459124.37</v>
      </c>
      <c r="L17" s="327">
        <v>10852564.48</v>
      </c>
      <c r="M17" s="327">
        <v>12198597.07</v>
      </c>
      <c r="N17" s="327">
        <v>11814183.35</v>
      </c>
      <c r="O17" s="327">
        <v>17577269.62</v>
      </c>
      <c r="P17" s="311">
        <f t="shared" si="3"/>
        <v>142860532.64000002</v>
      </c>
      <c r="Q17" s="330">
        <v>181496747</v>
      </c>
      <c r="R17" s="315"/>
      <c r="S17" s="315"/>
      <c r="T17" s="314"/>
      <c r="U17" s="305"/>
    </row>
    <row r="18" spans="1:21" s="18" customFormat="1" ht="19.5" customHeight="1">
      <c r="A18" s="1069" t="s">
        <v>139</v>
      </c>
      <c r="B18" s="310">
        <v>1200062.19</v>
      </c>
      <c r="C18" s="310">
        <v>1489572.4</v>
      </c>
      <c r="D18" s="327">
        <f>D19+D20</f>
        <v>2667185.01</v>
      </c>
      <c r="E18" s="327">
        <f>E19+E20</f>
        <v>2698097.9099999997</v>
      </c>
      <c r="F18" s="327">
        <f>F19+F20</f>
        <v>1038369.71</v>
      </c>
      <c r="G18" s="327">
        <f>G19+G20</f>
        <v>2693846.6</v>
      </c>
      <c r="H18" s="327">
        <f aca="true" t="shared" si="4" ref="H18:Q18">H19+H20</f>
        <v>5198879.15</v>
      </c>
      <c r="I18" s="327">
        <f t="shared" si="4"/>
        <v>4723443.199999999</v>
      </c>
      <c r="J18" s="327">
        <f t="shared" si="4"/>
        <v>3940950.62</v>
      </c>
      <c r="K18" s="327">
        <f t="shared" si="4"/>
        <v>63113743.7</v>
      </c>
      <c r="L18" s="327">
        <f t="shared" si="4"/>
        <v>562284.64</v>
      </c>
      <c r="M18" s="327">
        <f t="shared" si="4"/>
        <v>1151008.73</v>
      </c>
      <c r="N18" s="1160">
        <f t="shared" si="4"/>
        <v>7907650.39</v>
      </c>
      <c r="O18" s="327">
        <f t="shared" si="4"/>
        <v>7676850.34</v>
      </c>
      <c r="P18" s="311">
        <f t="shared" si="4"/>
        <v>103372310</v>
      </c>
      <c r="Q18" s="312">
        <f t="shared" si="4"/>
        <v>143714315</v>
      </c>
      <c r="R18" s="328"/>
      <c r="S18" s="329"/>
      <c r="T18" s="314"/>
      <c r="U18" s="305"/>
    </row>
    <row r="19" spans="1:21" s="18" customFormat="1" ht="19.5" customHeight="1">
      <c r="A19" s="1069" t="s">
        <v>605</v>
      </c>
      <c r="B19" s="310"/>
      <c r="C19" s="310"/>
      <c r="D19" s="1160">
        <v>2242085.21</v>
      </c>
      <c r="E19" s="1160">
        <v>3053370.13</v>
      </c>
      <c r="F19" s="1160">
        <v>1021469.44</v>
      </c>
      <c r="G19" s="1160">
        <v>2663840.39</v>
      </c>
      <c r="H19" s="1160">
        <v>5196029.71</v>
      </c>
      <c r="I19" s="1160">
        <v>4711706.6</v>
      </c>
      <c r="J19" s="1160">
        <v>3885738.37</v>
      </c>
      <c r="K19" s="1160">
        <v>3000505.6</v>
      </c>
      <c r="L19" s="1160">
        <v>492556.17</v>
      </c>
      <c r="M19" s="1160">
        <v>1120490.51</v>
      </c>
      <c r="N19" s="1160">
        <v>7881431.37</v>
      </c>
      <c r="O19" s="1160">
        <v>7594101.01</v>
      </c>
      <c r="P19" s="869">
        <f>SUM(D19:O19)</f>
        <v>42863324.51</v>
      </c>
      <c r="Q19" s="330">
        <v>54686791</v>
      </c>
      <c r="R19" s="328"/>
      <c r="S19" s="329"/>
      <c r="T19" s="314"/>
      <c r="U19" s="305"/>
    </row>
    <row r="20" spans="1:21" s="18" customFormat="1" ht="19.5" customHeight="1">
      <c r="A20" s="1069" t="s">
        <v>606</v>
      </c>
      <c r="B20" s="310"/>
      <c r="C20" s="310"/>
      <c r="D20" s="1160">
        <f>42694.34+382405.46</f>
        <v>425099.80000000005</v>
      </c>
      <c r="E20" s="1160">
        <f>25907.37-381179.59</f>
        <v>-355272.22000000003</v>
      </c>
      <c r="F20" s="1160">
        <f>16249.84+650.43</f>
        <v>16900.27</v>
      </c>
      <c r="G20" s="1160">
        <f>11762.69+18243.52</f>
        <v>30006.21</v>
      </c>
      <c r="H20" s="1160">
        <f>2823.48+25.96</f>
        <v>2849.44</v>
      </c>
      <c r="I20" s="1160">
        <f>11736.6</f>
        <v>11736.6</v>
      </c>
      <c r="J20" s="1160">
        <f>55212.25</f>
        <v>55212.25</v>
      </c>
      <c r="K20" s="1160">
        <f>60000000+107838.1+5400</f>
        <v>60113238.1</v>
      </c>
      <c r="L20" s="1160">
        <f>67648.47+2080</f>
        <v>69728.47</v>
      </c>
      <c r="M20" s="1160">
        <f>6680+23838.22</f>
        <v>30518.22</v>
      </c>
      <c r="N20" s="1160">
        <f>25679.02+540</f>
        <v>26219.02</v>
      </c>
      <c r="O20" s="1160">
        <f>82509.33+240</f>
        <v>82749.33</v>
      </c>
      <c r="P20" s="869">
        <f>SUM(D20:O20)</f>
        <v>60508985.49</v>
      </c>
      <c r="Q20" s="330">
        <f>60000000+1059795+27967729</f>
        <v>89027524</v>
      </c>
      <c r="R20" s="328"/>
      <c r="S20" s="329"/>
      <c r="T20" s="314"/>
      <c r="U20" s="305"/>
    </row>
    <row r="21" spans="1:21" s="18" customFormat="1" ht="19.5" customHeight="1">
      <c r="A21" s="1070" t="s">
        <v>16</v>
      </c>
      <c r="B21" s="310">
        <v>6667.71</v>
      </c>
      <c r="C21" s="310">
        <v>8520.57</v>
      </c>
      <c r="D21" s="1160">
        <v>0</v>
      </c>
      <c r="E21" s="1160">
        <v>0</v>
      </c>
      <c r="F21" s="1161">
        <v>0</v>
      </c>
      <c r="G21" s="1160">
        <v>0</v>
      </c>
      <c r="H21" s="1386">
        <v>0</v>
      </c>
      <c r="I21" s="1161">
        <v>0</v>
      </c>
      <c r="J21" s="1160">
        <v>0</v>
      </c>
      <c r="K21" s="1160">
        <v>0</v>
      </c>
      <c r="L21" s="1160">
        <v>0</v>
      </c>
      <c r="M21" s="327">
        <v>0</v>
      </c>
      <c r="N21" s="1160">
        <v>0</v>
      </c>
      <c r="O21" s="1160">
        <v>0</v>
      </c>
      <c r="P21" s="869">
        <f>SUM(D21:O21)</f>
        <v>0</v>
      </c>
      <c r="Q21" s="1066">
        <v>427677</v>
      </c>
      <c r="R21" s="315"/>
      <c r="S21" s="315"/>
      <c r="T21" s="314"/>
      <c r="U21" s="305"/>
    </row>
    <row r="22" spans="1:30" s="309" customFormat="1" ht="19.5" customHeight="1">
      <c r="A22" s="1070" t="s">
        <v>140</v>
      </c>
      <c r="B22" s="310">
        <f>SUM(B23:B30)</f>
        <v>85102073.65</v>
      </c>
      <c r="C22" s="310">
        <f>SUM(C23:C30)</f>
        <v>94872944.72</v>
      </c>
      <c r="D22" s="327">
        <f>SUM(D23:D30)</f>
        <v>208931014.29000002</v>
      </c>
      <c r="E22" s="327">
        <f>SUM(E23:E30)</f>
        <v>208430303.05</v>
      </c>
      <c r="F22" s="327">
        <f aca="true" t="shared" si="5" ref="F22:O22">SUM(F23:F30)</f>
        <v>179836782.29</v>
      </c>
      <c r="G22" s="327">
        <f t="shared" si="5"/>
        <v>181548977.87</v>
      </c>
      <c r="H22" s="327">
        <f t="shared" si="5"/>
        <v>162247125.39</v>
      </c>
      <c r="I22" s="327">
        <f t="shared" si="5"/>
        <v>196826758.04000002</v>
      </c>
      <c r="J22" s="330">
        <f t="shared" si="5"/>
        <v>242229976.13999996</v>
      </c>
      <c r="K22" s="330">
        <f t="shared" si="5"/>
        <v>229997129.9</v>
      </c>
      <c r="L22" s="327">
        <f t="shared" si="5"/>
        <v>192401227.7</v>
      </c>
      <c r="M22" s="327">
        <f t="shared" si="5"/>
        <v>205297116.47</v>
      </c>
      <c r="N22" s="327">
        <f t="shared" si="5"/>
        <v>191515968.24</v>
      </c>
      <c r="O22" s="327">
        <f t="shared" si="5"/>
        <v>246030037.83</v>
      </c>
      <c r="P22" s="327">
        <f>SUM(P23:P30)</f>
        <v>2445292417.21</v>
      </c>
      <c r="Q22" s="330">
        <f>SUM(Q23:Q30)</f>
        <v>2391550683.55</v>
      </c>
      <c r="R22" s="305"/>
      <c r="S22" s="314"/>
      <c r="T22" s="314"/>
      <c r="U22" s="316"/>
      <c r="V22" s="18"/>
      <c r="W22" s="18"/>
      <c r="X22" s="18"/>
      <c r="Y22" s="18"/>
      <c r="Z22" s="18"/>
      <c r="AA22" s="18"/>
      <c r="AB22" s="18"/>
      <c r="AC22" s="18"/>
      <c r="AD22" s="18"/>
    </row>
    <row r="23" spans="1:21" s="321" customFormat="1" ht="19.5" customHeight="1">
      <c r="A23" s="1138" t="s">
        <v>607</v>
      </c>
      <c r="B23" s="317">
        <v>23837662.26</v>
      </c>
      <c r="C23" s="317">
        <v>20568609.89</v>
      </c>
      <c r="D23" s="1160">
        <v>47982905.24</v>
      </c>
      <c r="E23" s="1160">
        <v>69333156.28</v>
      </c>
      <c r="F23" s="1160">
        <v>40541015.31</v>
      </c>
      <c r="G23" s="1160">
        <v>39739169.79</v>
      </c>
      <c r="H23" s="1160">
        <v>41518435.9</v>
      </c>
      <c r="I23" s="1160">
        <v>33798233.88</v>
      </c>
      <c r="J23" s="1160">
        <f>34660739.21+23603959.08</f>
        <v>58264698.29</v>
      </c>
      <c r="K23" s="1160">
        <v>37011140.46</v>
      </c>
      <c r="L23" s="1160">
        <v>29812799.65</v>
      </c>
      <c r="M23" s="1160">
        <v>40115994.25</v>
      </c>
      <c r="N23" s="1160">
        <v>53170711.94</v>
      </c>
      <c r="O23" s="1160">
        <f>55727896.21+23553742.03</f>
        <v>79281638.24000001</v>
      </c>
      <c r="P23" s="869">
        <f aca="true" t="shared" si="6" ref="P23:P31">SUM(D23:O23)</f>
        <v>570569899.23</v>
      </c>
      <c r="Q23" s="334">
        <v>516793272</v>
      </c>
      <c r="R23" s="307"/>
      <c r="S23" s="332"/>
      <c r="T23" s="306"/>
      <c r="U23" s="331"/>
    </row>
    <row r="24" spans="1:21" s="321" customFormat="1" ht="19.5" customHeight="1">
      <c r="A24" s="1138" t="s">
        <v>608</v>
      </c>
      <c r="B24" s="317">
        <v>18440365.8</v>
      </c>
      <c r="C24" s="317">
        <v>19955818.11</v>
      </c>
      <c r="D24" s="1160">
        <v>60444787.16</v>
      </c>
      <c r="E24" s="1160">
        <v>54414947.48</v>
      </c>
      <c r="F24" s="1160">
        <v>47693669.68</v>
      </c>
      <c r="G24" s="1160">
        <v>42146014.56</v>
      </c>
      <c r="H24" s="1160">
        <v>38531420.5</v>
      </c>
      <c r="I24" s="1160">
        <v>40852977.7</v>
      </c>
      <c r="J24" s="1160">
        <v>48452724.94</v>
      </c>
      <c r="K24" s="1160">
        <v>61942956.05</v>
      </c>
      <c r="L24" s="1160">
        <v>55448036.14</v>
      </c>
      <c r="M24" s="1160">
        <v>62094000.13</v>
      </c>
      <c r="N24" s="1160">
        <v>59071300.36</v>
      </c>
      <c r="O24" s="1160">
        <v>62091899.38</v>
      </c>
      <c r="P24" s="869">
        <f t="shared" si="6"/>
        <v>633184734.0799999</v>
      </c>
      <c r="Q24" s="334">
        <v>621698769.65</v>
      </c>
      <c r="R24" s="333"/>
      <c r="S24" s="307"/>
      <c r="T24" s="307"/>
      <c r="U24" s="308"/>
    </row>
    <row r="25" spans="1:22" s="321" customFormat="1" ht="19.5" customHeight="1">
      <c r="A25" s="1138" t="s">
        <v>609</v>
      </c>
      <c r="B25" s="317">
        <v>4478497.12</v>
      </c>
      <c r="C25" s="317">
        <v>4714661.46</v>
      </c>
      <c r="D25" s="1160">
        <v>4923765.2</v>
      </c>
      <c r="E25" s="1160">
        <v>12371023.31</v>
      </c>
      <c r="F25" s="1160">
        <v>22227018.04</v>
      </c>
      <c r="G25" s="1160">
        <v>2581726.66</v>
      </c>
      <c r="H25" s="1160">
        <v>3198195.25</v>
      </c>
      <c r="I25" s="1160">
        <v>9316958.89</v>
      </c>
      <c r="J25" s="1160">
        <v>12696231.76</v>
      </c>
      <c r="K25" s="1160">
        <v>6415357.62</v>
      </c>
      <c r="L25" s="1160">
        <v>5173494.02</v>
      </c>
      <c r="M25" s="1160">
        <v>7287059.4</v>
      </c>
      <c r="N25" s="1160">
        <v>4459330.21</v>
      </c>
      <c r="O25" s="1160">
        <v>3710549.21</v>
      </c>
      <c r="P25" s="869">
        <f t="shared" si="6"/>
        <v>94360709.57</v>
      </c>
      <c r="Q25" s="334">
        <v>93191003</v>
      </c>
      <c r="R25" s="307"/>
      <c r="S25" s="307"/>
      <c r="T25" s="307"/>
      <c r="U25" s="308"/>
      <c r="V25" s="323"/>
    </row>
    <row r="26" spans="1:21" s="321" customFormat="1" ht="19.5" customHeight="1">
      <c r="A26" s="1138" t="s">
        <v>610</v>
      </c>
      <c r="B26" s="317">
        <v>150.79</v>
      </c>
      <c r="C26" s="317">
        <v>251.89</v>
      </c>
      <c r="D26" s="1160">
        <v>81.11</v>
      </c>
      <c r="E26" s="1160">
        <v>433.84</v>
      </c>
      <c r="F26" s="1160">
        <v>455.25</v>
      </c>
      <c r="G26" s="1160">
        <v>0</v>
      </c>
      <c r="H26" s="1160">
        <v>23.98</v>
      </c>
      <c r="I26" s="1160">
        <v>522.88</v>
      </c>
      <c r="J26" s="1160">
        <v>0</v>
      </c>
      <c r="K26" s="1160">
        <v>106.19</v>
      </c>
      <c r="L26" s="1160">
        <v>279.86</v>
      </c>
      <c r="M26" s="1160">
        <v>8352.9</v>
      </c>
      <c r="N26" s="1160">
        <v>905.32</v>
      </c>
      <c r="O26" s="1160">
        <v>875.02</v>
      </c>
      <c r="P26" s="869">
        <f t="shared" si="6"/>
        <v>12036.35</v>
      </c>
      <c r="Q26" s="334">
        <v>4179</v>
      </c>
      <c r="R26" s="307"/>
      <c r="S26" s="307"/>
      <c r="T26" s="307"/>
      <c r="U26" s="308"/>
    </row>
    <row r="27" spans="1:21" s="321" customFormat="1" ht="19.5" customHeight="1">
      <c r="A27" s="1138" t="s">
        <v>611</v>
      </c>
      <c r="B27" s="317">
        <v>290965.38</v>
      </c>
      <c r="C27" s="317">
        <f>B27</f>
        <v>290965.38</v>
      </c>
      <c r="D27" s="1160">
        <v>0</v>
      </c>
      <c r="E27" s="1160">
        <v>0</v>
      </c>
      <c r="F27" s="1160">
        <v>0</v>
      </c>
      <c r="G27" s="1160">
        <v>0</v>
      </c>
      <c r="H27" s="1160"/>
      <c r="I27" s="1160">
        <v>0</v>
      </c>
      <c r="J27" s="1160">
        <v>0</v>
      </c>
      <c r="K27" s="1160">
        <v>0</v>
      </c>
      <c r="L27" s="1160">
        <v>0</v>
      </c>
      <c r="M27" s="1160">
        <v>0</v>
      </c>
      <c r="N27" s="1160">
        <v>0</v>
      </c>
      <c r="O27" s="1160">
        <v>0</v>
      </c>
      <c r="P27" s="869">
        <f t="shared" si="6"/>
        <v>0</v>
      </c>
      <c r="Q27" s="334">
        <v>2807604</v>
      </c>
      <c r="R27" s="307"/>
      <c r="S27" s="332"/>
      <c r="T27" s="307"/>
      <c r="U27" s="308"/>
    </row>
    <row r="28" spans="1:21" s="321" customFormat="1" ht="19.5" customHeight="1">
      <c r="A28" s="1138" t="s">
        <v>612</v>
      </c>
      <c r="B28" s="317"/>
      <c r="C28" s="317"/>
      <c r="D28" s="1160">
        <v>481813.99</v>
      </c>
      <c r="E28" s="1160">
        <v>521199.72</v>
      </c>
      <c r="F28" s="1160">
        <v>480991.45</v>
      </c>
      <c r="G28" s="1160">
        <v>161614.23</v>
      </c>
      <c r="H28" s="1160">
        <v>67235.47</v>
      </c>
      <c r="I28" s="1160">
        <v>331041.37</v>
      </c>
      <c r="J28" s="1160">
        <v>464942.19</v>
      </c>
      <c r="K28" s="1160">
        <v>537712.88</v>
      </c>
      <c r="L28" s="1160">
        <v>631608.62</v>
      </c>
      <c r="M28" s="1160">
        <v>644985.79</v>
      </c>
      <c r="N28" s="1160">
        <v>870233.64</v>
      </c>
      <c r="O28" s="1160">
        <v>648137.42</v>
      </c>
      <c r="P28" s="869">
        <f t="shared" si="6"/>
        <v>5841516.77</v>
      </c>
      <c r="Q28" s="334">
        <v>8069541</v>
      </c>
      <c r="R28" s="307"/>
      <c r="S28" s="307"/>
      <c r="T28" s="307"/>
      <c r="U28" s="308"/>
    </row>
    <row r="29" spans="1:21" s="321" customFormat="1" ht="19.5" customHeight="1">
      <c r="A29" s="1138" t="s">
        <v>613</v>
      </c>
      <c r="B29" s="317">
        <v>16163396.33</v>
      </c>
      <c r="C29" s="317">
        <v>23889755.74</v>
      </c>
      <c r="D29" s="1160">
        <v>60892907.72</v>
      </c>
      <c r="E29" s="1160">
        <v>37794070.8</v>
      </c>
      <c r="F29" s="1160">
        <v>30807356.06</v>
      </c>
      <c r="G29" s="1160">
        <v>26816805.57</v>
      </c>
      <c r="H29" s="1160">
        <v>28861266.63</v>
      </c>
      <c r="I29" s="1160">
        <v>27953357.37</v>
      </c>
      <c r="J29" s="1160">
        <v>29074739.47</v>
      </c>
      <c r="K29" s="1160">
        <v>31095899.47</v>
      </c>
      <c r="L29" s="1160">
        <v>28649026.4</v>
      </c>
      <c r="M29" s="1160">
        <v>31926037.68</v>
      </c>
      <c r="N29" s="1160">
        <v>30732088.54</v>
      </c>
      <c r="O29" s="1160">
        <v>31686819.34</v>
      </c>
      <c r="P29" s="869">
        <f t="shared" si="6"/>
        <v>396290375.05</v>
      </c>
      <c r="Q29" s="334">
        <v>369753368.53</v>
      </c>
      <c r="R29" s="307"/>
      <c r="S29" s="307"/>
      <c r="T29" s="307"/>
      <c r="U29" s="308"/>
    </row>
    <row r="30" spans="1:21" s="321" customFormat="1" ht="19.5" customHeight="1">
      <c r="A30" s="1138" t="s">
        <v>614</v>
      </c>
      <c r="B30" s="317">
        <v>21891035.97</v>
      </c>
      <c r="C30" s="317">
        <v>25452882.25</v>
      </c>
      <c r="D30" s="1160">
        <f>208931014.29-174726260.42</f>
        <v>34204753.870000005</v>
      </c>
      <c r="E30" s="1160">
        <v>33995471.62</v>
      </c>
      <c r="F30" s="1160">
        <v>38086276.5</v>
      </c>
      <c r="G30" s="1160">
        <f>181548977.87-111445330.81</f>
        <v>70103647.06</v>
      </c>
      <c r="H30" s="1160">
        <f>162247125.39-112176577.73</f>
        <v>50070547.65999998</v>
      </c>
      <c r="I30" s="1160">
        <f>196826758.04-112253092.09</f>
        <v>84573665.94999999</v>
      </c>
      <c r="J30" s="1160">
        <f>242229976.14-148953336.65</f>
        <v>93276639.48999998</v>
      </c>
      <c r="K30" s="1160">
        <f>229997129.9-137003172.67</f>
        <v>92993957.23000002</v>
      </c>
      <c r="L30" s="1160">
        <f>192401227.7-119715244.69</f>
        <v>72685983.00999999</v>
      </c>
      <c r="M30" s="1160">
        <f>205297116.47-142076430.15</f>
        <v>63220686.31999999</v>
      </c>
      <c r="N30" s="1160">
        <f>191515968.24-148304570.01</f>
        <v>43211398.23000002</v>
      </c>
      <c r="O30" s="1160">
        <f>246030037.83-177419918.61</f>
        <v>68610119.22</v>
      </c>
      <c r="P30" s="869">
        <f t="shared" si="6"/>
        <v>745033146.1600001</v>
      </c>
      <c r="Q30" s="334">
        <f>2391550683.55-1612317737.18</f>
        <v>779232946.3700001</v>
      </c>
      <c r="R30" s="307"/>
      <c r="S30" s="307"/>
      <c r="T30" s="307"/>
      <c r="U30" s="308"/>
    </row>
    <row r="31" spans="1:21" s="18" customFormat="1" ht="24" customHeight="1">
      <c r="A31" s="1070" t="s">
        <v>141</v>
      </c>
      <c r="B31" s="310">
        <v>1871151.09</v>
      </c>
      <c r="C31" s="310">
        <v>1782072.97</v>
      </c>
      <c r="D31" s="327">
        <v>1907143.07</v>
      </c>
      <c r="E31" s="327">
        <v>2853362.5</v>
      </c>
      <c r="F31" s="327">
        <v>2382232.55</v>
      </c>
      <c r="G31" s="327">
        <v>1082958.27</v>
      </c>
      <c r="H31" s="327">
        <v>1300085.62</v>
      </c>
      <c r="I31" s="327">
        <v>2643590.76</v>
      </c>
      <c r="J31" s="327">
        <v>6413607.85</v>
      </c>
      <c r="K31" s="327">
        <v>5667741.13</v>
      </c>
      <c r="L31" s="327">
        <v>5220663.45</v>
      </c>
      <c r="M31" s="327">
        <v>2526328.79</v>
      </c>
      <c r="N31" s="327">
        <v>2246074.03</v>
      </c>
      <c r="O31" s="327">
        <v>7815131.22</v>
      </c>
      <c r="P31" s="311">
        <f t="shared" si="6"/>
        <v>42058919.239999995</v>
      </c>
      <c r="Q31" s="330">
        <v>165773062.73</v>
      </c>
      <c r="R31" s="335"/>
      <c r="S31" s="315"/>
      <c r="T31" s="315"/>
      <c r="U31" s="316"/>
    </row>
    <row r="32" spans="1:180" s="309" customFormat="1" ht="24" customHeight="1">
      <c r="A32" s="1069" t="s">
        <v>142</v>
      </c>
      <c r="B32" s="336">
        <f>B33+B35+B34</f>
        <v>12149540.29</v>
      </c>
      <c r="C32" s="336">
        <f>C33+C35+C34</f>
        <v>11808330.88</v>
      </c>
      <c r="D32" s="337">
        <f>D33+D34+D35</f>
        <v>28735235.189999998</v>
      </c>
      <c r="E32" s="337">
        <f>E33+E34+E35</f>
        <v>32640228.27</v>
      </c>
      <c r="F32" s="337">
        <f>F33+F34+F35</f>
        <v>27316838.39</v>
      </c>
      <c r="G32" s="337">
        <f>G33+G34+G35</f>
        <v>22897532.64</v>
      </c>
      <c r="H32" s="337">
        <f aca="true" t="shared" si="7" ref="H32:O32">H33+H34+H35</f>
        <v>19454622.009999998</v>
      </c>
      <c r="I32" s="337">
        <f t="shared" si="7"/>
        <v>18849105.99</v>
      </c>
      <c r="J32" s="337">
        <f t="shared" si="7"/>
        <v>28980052.65</v>
      </c>
      <c r="K32" s="337">
        <f t="shared" si="7"/>
        <v>26800358.04</v>
      </c>
      <c r="L32" s="337">
        <f t="shared" si="7"/>
        <v>22905009.38</v>
      </c>
      <c r="M32" s="337">
        <f t="shared" si="7"/>
        <v>27662213.740000002</v>
      </c>
      <c r="N32" s="337">
        <f t="shared" si="7"/>
        <v>28876846.09</v>
      </c>
      <c r="O32" s="337">
        <f t="shared" si="7"/>
        <v>35238590</v>
      </c>
      <c r="P32" s="337">
        <f>P33+P34+P35</f>
        <v>320356632.39</v>
      </c>
      <c r="Q32" s="330">
        <f>Q33+Q34+Q35</f>
        <v>330518389</v>
      </c>
      <c r="R32" s="305"/>
      <c r="S32" s="306"/>
      <c r="T32" s="307"/>
      <c r="U32" s="30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338"/>
      <c r="FG32" s="338"/>
      <c r="FH32" s="338"/>
      <c r="FI32" s="338"/>
      <c r="FJ32" s="338"/>
      <c r="FK32" s="338"/>
      <c r="FL32" s="338"/>
      <c r="FM32" s="338"/>
      <c r="FN32" s="338"/>
      <c r="FO32" s="338"/>
      <c r="FP32" s="338"/>
      <c r="FQ32" s="338"/>
      <c r="FR32" s="338"/>
      <c r="FS32" s="338"/>
      <c r="FT32" s="338"/>
      <c r="FU32" s="338"/>
      <c r="FV32" s="338"/>
      <c r="FW32" s="338"/>
      <c r="FX32" s="338"/>
    </row>
    <row r="33" spans="1:21" s="321" customFormat="1" ht="22.5" customHeight="1">
      <c r="A33" s="1139" t="s">
        <v>620</v>
      </c>
      <c r="B33" s="339">
        <v>2683864.55</v>
      </c>
      <c r="C33" s="339">
        <v>2631769.92</v>
      </c>
      <c r="D33" s="1160">
        <v>5968564.7</v>
      </c>
      <c r="E33" s="1160">
        <v>5312076.21</v>
      </c>
      <c r="F33" s="1160">
        <v>5128208.53</v>
      </c>
      <c r="G33" s="1160">
        <v>5971827.68</v>
      </c>
      <c r="H33" s="1160">
        <v>2791559.84</v>
      </c>
      <c r="I33" s="1160">
        <v>1989159.09</v>
      </c>
      <c r="J33" s="1160">
        <v>9725125.08</v>
      </c>
      <c r="K33" s="1160">
        <v>5618903.49</v>
      </c>
      <c r="L33" s="1160">
        <v>4691765.79</v>
      </c>
      <c r="M33" s="1160">
        <v>5632135.33</v>
      </c>
      <c r="N33" s="1160">
        <v>5362349.86</v>
      </c>
      <c r="O33" s="1160">
        <v>10802718.6</v>
      </c>
      <c r="P33" s="869">
        <f>SUM(D33:O33)</f>
        <v>68994394.2</v>
      </c>
      <c r="Q33" s="334">
        <v>89898062</v>
      </c>
      <c r="R33" s="307"/>
      <c r="S33" s="307"/>
      <c r="T33" s="307"/>
      <c r="U33" s="308"/>
    </row>
    <row r="34" spans="1:21" s="321" customFormat="1" ht="18.75" customHeight="1">
      <c r="A34" s="1139" t="s">
        <v>621</v>
      </c>
      <c r="B34" s="317">
        <v>14996.57</v>
      </c>
      <c r="C34" s="317">
        <v>14996.57</v>
      </c>
      <c r="D34" s="1160">
        <v>0</v>
      </c>
      <c r="E34" s="1160">
        <v>0</v>
      </c>
      <c r="F34" s="1160">
        <v>0</v>
      </c>
      <c r="G34" s="1160">
        <v>0</v>
      </c>
      <c r="H34" s="1160">
        <v>0</v>
      </c>
      <c r="I34" s="1160">
        <v>0</v>
      </c>
      <c r="J34" s="1160">
        <v>0</v>
      </c>
      <c r="K34" s="1160">
        <v>0</v>
      </c>
      <c r="L34" s="1160">
        <v>0</v>
      </c>
      <c r="M34" s="1160">
        <v>0</v>
      </c>
      <c r="N34" s="1160">
        <v>0</v>
      </c>
      <c r="O34" s="1160">
        <v>0</v>
      </c>
      <c r="P34" s="869">
        <f>SUM(D34:O34)</f>
        <v>0</v>
      </c>
      <c r="Q34" s="334">
        <v>0</v>
      </c>
      <c r="R34" s="307"/>
      <c r="S34" s="307"/>
      <c r="T34" s="307"/>
      <c r="U34" s="308"/>
    </row>
    <row r="35" spans="1:21" s="321" customFormat="1" ht="21" customHeight="1">
      <c r="A35" s="1139" t="s">
        <v>622</v>
      </c>
      <c r="B35" s="317">
        <v>9450679.17</v>
      </c>
      <c r="C35" s="317">
        <v>9161564.39</v>
      </c>
      <c r="D35" s="1160">
        <v>22766670.49</v>
      </c>
      <c r="E35" s="1160">
        <v>27328152.06</v>
      </c>
      <c r="F35" s="1160">
        <v>22188629.86</v>
      </c>
      <c r="G35" s="1160">
        <v>16925704.96</v>
      </c>
      <c r="H35" s="1160">
        <v>16663062.17</v>
      </c>
      <c r="I35" s="1160">
        <v>16859946.9</v>
      </c>
      <c r="J35" s="1160">
        <v>19254927.57</v>
      </c>
      <c r="K35" s="1160">
        <v>21181454.55</v>
      </c>
      <c r="L35" s="1160">
        <v>18213243.59</v>
      </c>
      <c r="M35" s="1160">
        <v>22030078.41</v>
      </c>
      <c r="N35" s="1160">
        <v>23514496.23</v>
      </c>
      <c r="O35" s="1160">
        <v>24435871.4</v>
      </c>
      <c r="P35" s="869">
        <f>SUM(D35:O35)</f>
        <v>251362238.19</v>
      </c>
      <c r="Q35" s="1067">
        <v>240620327</v>
      </c>
      <c r="R35" s="307"/>
      <c r="S35" s="307"/>
      <c r="T35" s="307"/>
      <c r="U35" s="308"/>
    </row>
    <row r="36" spans="1:21" s="260" customFormat="1" ht="23.25" customHeight="1">
      <c r="A36" s="1335" t="s">
        <v>903</v>
      </c>
      <c r="B36" s="1336">
        <f>B10-B32</f>
        <v>115724153.72</v>
      </c>
      <c r="C36" s="1336">
        <f>C10-C32</f>
        <v>118192070.28999999</v>
      </c>
      <c r="D36" s="1338">
        <f>D10-D32</f>
        <v>266866496.70000005</v>
      </c>
      <c r="E36" s="1336">
        <f>E10-E32</f>
        <v>245976504.23999998</v>
      </c>
      <c r="F36" s="1336">
        <f aca="true" t="shared" si="8" ref="F36:K36">F10-F32</f>
        <v>225091792.46000004</v>
      </c>
      <c r="G36" s="1336">
        <f t="shared" si="8"/>
        <v>222172215.34000003</v>
      </c>
      <c r="H36" s="302">
        <f t="shared" si="8"/>
        <v>207627362.91</v>
      </c>
      <c r="I36" s="340">
        <f t="shared" si="8"/>
        <v>251829438.53000003</v>
      </c>
      <c r="J36" s="1336">
        <f t="shared" si="8"/>
        <v>348245882.7</v>
      </c>
      <c r="K36" s="1398">
        <f t="shared" si="8"/>
        <v>353791809.90000004</v>
      </c>
      <c r="L36" s="1337">
        <f aca="true" t="shared" si="9" ref="L36:Q36">L10-L32</f>
        <v>270193289.09999996</v>
      </c>
      <c r="M36" s="1337">
        <f t="shared" si="9"/>
        <v>275595635.09000003</v>
      </c>
      <c r="N36" s="1338">
        <f t="shared" si="9"/>
        <v>264475726.61999997</v>
      </c>
      <c r="O36" s="1336">
        <f t="shared" si="9"/>
        <v>343493583.75</v>
      </c>
      <c r="P36" s="1385">
        <f t="shared" si="9"/>
        <v>3275359737.3399997</v>
      </c>
      <c r="Q36" s="1339">
        <f t="shared" si="9"/>
        <v>3444206911.28</v>
      </c>
      <c r="R36" s="341"/>
      <c r="S36" s="342"/>
      <c r="T36" s="342"/>
      <c r="U36" s="343"/>
    </row>
    <row r="37" spans="1:21" s="260" customFormat="1" ht="22.5" customHeight="1">
      <c r="A37" s="1340" t="s">
        <v>904</v>
      </c>
      <c r="B37" s="1341"/>
      <c r="C37" s="1341"/>
      <c r="D37" s="1341"/>
      <c r="E37" s="1341"/>
      <c r="F37" s="1341"/>
      <c r="G37" s="1341"/>
      <c r="H37" s="1341"/>
      <c r="I37" s="1384"/>
      <c r="J37" s="1341"/>
      <c r="K37" s="1341"/>
      <c r="L37" s="1342"/>
      <c r="M37" s="1342"/>
      <c r="N37" s="1341"/>
      <c r="O37" s="1341"/>
      <c r="P37" s="311">
        <f>SUM(D37:G37)</f>
        <v>0</v>
      </c>
      <c r="Q37" s="1341">
        <v>0</v>
      </c>
      <c r="R37" s="341"/>
      <c r="S37" s="342"/>
      <c r="T37" s="342"/>
      <c r="U37" s="343"/>
    </row>
    <row r="38" spans="1:21" s="1346" customFormat="1" ht="27" customHeight="1">
      <c r="A38" s="1343" t="s">
        <v>902</v>
      </c>
      <c r="B38" s="340"/>
      <c r="C38" s="340"/>
      <c r="D38" s="340">
        <f>D36-D37</f>
        <v>266866496.70000005</v>
      </c>
      <c r="E38" s="340">
        <f>E36-E37</f>
        <v>245976504.23999998</v>
      </c>
      <c r="F38" s="340">
        <f>F36-F37</f>
        <v>225091792.46000004</v>
      </c>
      <c r="G38" s="340">
        <f>G36-G37</f>
        <v>222172215.34000003</v>
      </c>
      <c r="H38" s="340">
        <f aca="true" t="shared" si="10" ref="H38:O38">H36-H37</f>
        <v>207627362.91</v>
      </c>
      <c r="I38" s="340">
        <f t="shared" si="10"/>
        <v>251829438.53000003</v>
      </c>
      <c r="J38" s="340">
        <f t="shared" si="10"/>
        <v>348245882.7</v>
      </c>
      <c r="K38" s="340">
        <f t="shared" si="10"/>
        <v>353791809.90000004</v>
      </c>
      <c r="L38" s="340">
        <f t="shared" si="10"/>
        <v>270193289.09999996</v>
      </c>
      <c r="M38" s="340">
        <f t="shared" si="10"/>
        <v>275595635.09000003</v>
      </c>
      <c r="N38" s="340">
        <f t="shared" si="10"/>
        <v>264475726.61999997</v>
      </c>
      <c r="O38" s="340">
        <f t="shared" si="10"/>
        <v>343493583.75</v>
      </c>
      <c r="P38" s="1377">
        <f>P36-P37</f>
        <v>3275359737.3399997</v>
      </c>
      <c r="Q38" s="340">
        <f>Q36-Q37</f>
        <v>3444206911.28</v>
      </c>
      <c r="R38" s="341"/>
      <c r="S38" s="1344"/>
      <c r="T38" s="1344"/>
      <c r="U38" s="1345"/>
    </row>
    <row r="39" spans="1:21" s="260" customFormat="1" ht="21.75" customHeight="1">
      <c r="A39" s="1340" t="s">
        <v>905</v>
      </c>
      <c r="B39" s="1341"/>
      <c r="C39" s="1341"/>
      <c r="D39" s="1341"/>
      <c r="E39" s="1341"/>
      <c r="F39" s="1341"/>
      <c r="G39" s="1341"/>
      <c r="H39" s="1341"/>
      <c r="I39" s="1384"/>
      <c r="J39" s="1341"/>
      <c r="K39" s="1341"/>
      <c r="L39" s="1342"/>
      <c r="M39" s="1342"/>
      <c r="N39" s="1341"/>
      <c r="O39" s="1341"/>
      <c r="P39" s="311">
        <f>SUM(D39:G39)</f>
        <v>0</v>
      </c>
      <c r="Q39" s="1341">
        <v>0</v>
      </c>
      <c r="R39" s="341"/>
      <c r="S39" s="342"/>
      <c r="T39" s="342"/>
      <c r="U39" s="343"/>
    </row>
    <row r="40" spans="1:21" s="1346" customFormat="1" ht="28.5" customHeight="1">
      <c r="A40" s="1343" t="s">
        <v>906</v>
      </c>
      <c r="B40" s="340"/>
      <c r="C40" s="340"/>
      <c r="D40" s="340">
        <f>D38-D39</f>
        <v>266866496.70000005</v>
      </c>
      <c r="E40" s="340">
        <f>E38-E39</f>
        <v>245976504.23999998</v>
      </c>
      <c r="F40" s="340">
        <f>F38-F39</f>
        <v>225091792.46000004</v>
      </c>
      <c r="G40" s="340">
        <f>G38-G39</f>
        <v>222172215.34000003</v>
      </c>
      <c r="H40" s="340">
        <f aca="true" t="shared" si="11" ref="H40:O40">H38-H39</f>
        <v>207627362.91</v>
      </c>
      <c r="I40" s="340">
        <f t="shared" si="11"/>
        <v>251829438.53000003</v>
      </c>
      <c r="J40" s="340">
        <f t="shared" si="11"/>
        <v>348245882.7</v>
      </c>
      <c r="K40" s="340">
        <f t="shared" si="11"/>
        <v>353791809.90000004</v>
      </c>
      <c r="L40" s="340">
        <f t="shared" si="11"/>
        <v>270193289.09999996</v>
      </c>
      <c r="M40" s="340">
        <f t="shared" si="11"/>
        <v>275595635.09000003</v>
      </c>
      <c r="N40" s="340">
        <f t="shared" si="11"/>
        <v>264475726.61999997</v>
      </c>
      <c r="O40" s="340">
        <f t="shared" si="11"/>
        <v>343493583.75</v>
      </c>
      <c r="P40" s="1377">
        <f>P38-P39</f>
        <v>3275359737.3399997</v>
      </c>
      <c r="Q40" s="340">
        <f>Q38-Q39</f>
        <v>3444206911.28</v>
      </c>
      <c r="R40" s="341"/>
      <c r="S40" s="1344"/>
      <c r="T40" s="1344"/>
      <c r="U40" s="1345"/>
    </row>
    <row r="41" spans="1:21" ht="12.75" customHeight="1">
      <c r="A41" s="292" t="str">
        <f>'[15]Anexo I_BAL ORC'!A96</f>
        <v>FONTE: SECRETARIA MUNICIPAL DA FAZENDA</v>
      </c>
      <c r="B41" s="76"/>
      <c r="C41" s="58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Q41" s="65"/>
      <c r="R41" s="74"/>
      <c r="S41" s="30"/>
      <c r="T41" s="74"/>
      <c r="U41" s="21"/>
    </row>
    <row r="42" spans="1:20" s="21" customFormat="1" ht="8.25" customHeight="1">
      <c r="A42" s="261"/>
      <c r="B42" s="20"/>
      <c r="C42" s="2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3"/>
      <c r="Q42" s="65"/>
      <c r="R42" s="30"/>
      <c r="S42" s="30"/>
      <c r="T42" s="30"/>
    </row>
    <row r="43" spans="1:20" s="21" customFormat="1" ht="21.75" customHeight="1">
      <c r="A43" s="293" t="str">
        <f>'Anexo 1 _ BAL ORC'!A95</f>
        <v>  São Luís,  de Janeiro de 2021.</v>
      </c>
      <c r="B43" s="27"/>
      <c r="C43" s="27"/>
      <c r="D43" s="64"/>
      <c r="E43" s="64"/>
      <c r="P43" s="63"/>
      <c r="Q43" s="65"/>
      <c r="R43" s="56"/>
      <c r="S43" s="56"/>
      <c r="T43" s="56"/>
    </row>
    <row r="44" spans="1:17" s="265" customFormat="1" ht="51" customHeight="1">
      <c r="A44" s="294"/>
      <c r="B44" s="266"/>
      <c r="C44" s="266"/>
      <c r="D44" s="266"/>
      <c r="E44" s="266"/>
      <c r="F44" s="295"/>
      <c r="G44" s="266"/>
      <c r="H44" s="266"/>
      <c r="I44" s="266"/>
      <c r="J44" s="266"/>
      <c r="K44" s="266"/>
      <c r="L44" s="266"/>
      <c r="M44" s="266"/>
      <c r="N44" s="266"/>
      <c r="O44" s="266"/>
      <c r="P44" s="296"/>
      <c r="Q44" s="14"/>
    </row>
    <row r="45" spans="1:19" s="265" customFormat="1" ht="9" customHeight="1">
      <c r="A45" s="294"/>
      <c r="B45" s="266"/>
      <c r="C45" s="266"/>
      <c r="D45" s="266"/>
      <c r="E45" s="266"/>
      <c r="F45" s="295"/>
      <c r="G45" s="266"/>
      <c r="H45" s="266"/>
      <c r="I45" s="266"/>
      <c r="J45" s="266"/>
      <c r="K45" s="266"/>
      <c r="L45" s="266"/>
      <c r="M45" s="266"/>
      <c r="N45" s="266"/>
      <c r="O45" s="266"/>
      <c r="P45" s="296"/>
      <c r="Q45" s="266"/>
      <c r="R45" s="297"/>
      <c r="S45" s="297"/>
    </row>
    <row r="46" spans="1:17" s="264" customFormat="1" ht="15" customHeight="1">
      <c r="A46" s="298"/>
      <c r="B46" s="299"/>
      <c r="C46" s="299"/>
      <c r="D46" s="266"/>
      <c r="E46" s="266"/>
      <c r="F46" s="295"/>
      <c r="G46" s="266"/>
      <c r="H46" s="266"/>
      <c r="I46" s="266"/>
      <c r="J46" s="266"/>
      <c r="K46" s="266"/>
      <c r="L46" s="266"/>
      <c r="M46" s="266"/>
      <c r="N46" s="266"/>
      <c r="O46" s="266"/>
      <c r="P46" s="300"/>
      <c r="Q46" s="299"/>
    </row>
    <row r="47" spans="1:17" s="264" customFormat="1" ht="15" customHeight="1">
      <c r="A47" s="298"/>
      <c r="B47" s="299"/>
      <c r="C47" s="299"/>
      <c r="D47" s="301"/>
      <c r="E47" s="301"/>
      <c r="F47" s="295"/>
      <c r="G47" s="301"/>
      <c r="H47" s="301"/>
      <c r="I47" s="301"/>
      <c r="J47" s="301"/>
      <c r="K47" s="301"/>
      <c r="L47" s="301"/>
      <c r="M47" s="301"/>
      <c r="N47" s="301"/>
      <c r="O47" s="301"/>
      <c r="P47" s="300"/>
      <c r="Q47" s="299"/>
    </row>
    <row r="48" spans="1:17" s="264" customFormat="1" ht="15" customHeight="1">
      <c r="A48" s="298"/>
      <c r="B48" s="299"/>
      <c r="C48" s="299"/>
      <c r="D48" s="14"/>
      <c r="E48" s="14"/>
      <c r="F48" s="295"/>
      <c r="G48" s="14"/>
      <c r="H48" s="14"/>
      <c r="I48" s="14"/>
      <c r="J48" s="14"/>
      <c r="K48" s="14"/>
      <c r="L48" s="14"/>
      <c r="M48" s="14"/>
      <c r="N48" s="14"/>
      <c r="O48" s="14"/>
      <c r="P48" s="300"/>
      <c r="Q48" s="299"/>
    </row>
    <row r="49" spans="1:17" s="264" customFormat="1" ht="15" customHeight="1">
      <c r="A49" s="298"/>
      <c r="B49" s="299"/>
      <c r="C49" s="299"/>
      <c r="D49" s="14"/>
      <c r="E49" s="14"/>
      <c r="F49" s="295"/>
      <c r="G49" s="14"/>
      <c r="H49" s="14"/>
      <c r="I49" s="14"/>
      <c r="J49" s="14"/>
      <c r="K49" s="14"/>
      <c r="L49" s="14"/>
      <c r="M49" s="14"/>
      <c r="N49" s="14"/>
      <c r="O49" s="14"/>
      <c r="P49" s="300"/>
      <c r="Q49" s="299"/>
    </row>
    <row r="50" spans="1:17" s="264" customFormat="1" ht="15" customHeight="1">
      <c r="A50" s="298"/>
      <c r="B50" s="299"/>
      <c r="C50" s="299"/>
      <c r="D50" s="14"/>
      <c r="E50" s="14"/>
      <c r="F50" s="295"/>
      <c r="G50" s="14"/>
      <c r="H50" s="14"/>
      <c r="I50" s="14"/>
      <c r="J50" s="14"/>
      <c r="K50" s="14"/>
      <c r="L50" s="14"/>
      <c r="M50" s="14"/>
      <c r="N50" s="14"/>
      <c r="O50" s="14"/>
      <c r="P50" s="300"/>
      <c r="Q50" s="299"/>
    </row>
    <row r="51" spans="1:17" s="264" customFormat="1" ht="15" customHeight="1">
      <c r="A51" s="298"/>
      <c r="B51" s="299"/>
      <c r="C51" s="299"/>
      <c r="D51" s="14"/>
      <c r="E51" s="14"/>
      <c r="F51" s="295"/>
      <c r="G51" s="14"/>
      <c r="H51" s="14"/>
      <c r="I51" s="14"/>
      <c r="J51" s="14"/>
      <c r="K51" s="14"/>
      <c r="L51" s="14"/>
      <c r="M51" s="14"/>
      <c r="N51" s="14"/>
      <c r="O51" s="14"/>
      <c r="P51" s="300"/>
      <c r="Q51" s="299"/>
    </row>
    <row r="52" spans="1:17" s="264" customFormat="1" ht="15" customHeight="1">
      <c r="A52" s="298"/>
      <c r="B52" s="299"/>
      <c r="C52" s="299"/>
      <c r="D52" s="266"/>
      <c r="E52" s="266"/>
      <c r="F52" s="295"/>
      <c r="G52" s="266"/>
      <c r="H52" s="266"/>
      <c r="I52" s="266"/>
      <c r="J52" s="266"/>
      <c r="K52" s="266"/>
      <c r="L52" s="266"/>
      <c r="M52" s="266"/>
      <c r="N52" s="266"/>
      <c r="O52" s="266"/>
      <c r="P52" s="300"/>
      <c r="Q52" s="299"/>
    </row>
    <row r="53" spans="1:17" s="264" customFormat="1" ht="15" customHeight="1">
      <c r="A53" s="298"/>
      <c r="B53" s="299"/>
      <c r="C53" s="299"/>
      <c r="D53" s="266"/>
      <c r="E53" s="266"/>
      <c r="F53" s="295"/>
      <c r="G53" s="266"/>
      <c r="H53" s="266"/>
      <c r="I53" s="266"/>
      <c r="J53" s="266"/>
      <c r="K53" s="266"/>
      <c r="L53" s="266"/>
      <c r="M53" s="266"/>
      <c r="N53" s="266"/>
      <c r="O53" s="266"/>
      <c r="P53" s="300"/>
      <c r="Q53" s="299"/>
    </row>
    <row r="54" spans="1:17" s="264" customFormat="1" ht="15" customHeight="1">
      <c r="A54" s="298"/>
      <c r="B54" s="299"/>
      <c r="C54" s="299"/>
      <c r="D54" s="266"/>
      <c r="E54" s="266"/>
      <c r="F54" s="295"/>
      <c r="G54" s="266"/>
      <c r="H54" s="266"/>
      <c r="I54" s="266"/>
      <c r="J54" s="266"/>
      <c r="K54" s="266"/>
      <c r="L54" s="266"/>
      <c r="M54" s="266"/>
      <c r="N54" s="266"/>
      <c r="O54" s="266"/>
      <c r="P54" s="300"/>
      <c r="Q54" s="299"/>
    </row>
    <row r="55" spans="1:17" s="264" customFormat="1" ht="15" customHeight="1">
      <c r="A55" s="298"/>
      <c r="B55" s="299"/>
      <c r="C55" s="299"/>
      <c r="D55" s="266"/>
      <c r="E55" s="266"/>
      <c r="F55" s="295"/>
      <c r="G55" s="266"/>
      <c r="H55" s="266"/>
      <c r="I55" s="266"/>
      <c r="J55" s="266"/>
      <c r="K55" s="266"/>
      <c r="L55" s="266"/>
      <c r="M55" s="266"/>
      <c r="N55" s="266"/>
      <c r="O55" s="266"/>
      <c r="P55" s="300"/>
      <c r="Q55" s="299"/>
    </row>
    <row r="56" spans="4:15" ht="15" customHeight="1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4:15" ht="15" customHeight="1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4:15" ht="15" customHeight="1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82" spans="1:3" ht="15" customHeight="1">
      <c r="A82" s="277"/>
      <c r="B82" s="32"/>
      <c r="C82" s="21"/>
    </row>
    <row r="83" spans="1:3" ht="15" customHeight="1">
      <c r="A83" s="277"/>
      <c r="B83" s="32"/>
      <c r="C83" s="21"/>
    </row>
    <row r="84" spans="1:3" ht="15" customHeight="1">
      <c r="A84" s="277"/>
      <c r="B84" s="32"/>
      <c r="C84" s="21"/>
    </row>
    <row r="85" spans="1:3" ht="15" customHeight="1">
      <c r="A85" s="277"/>
      <c r="B85" s="32"/>
      <c r="C85" s="21"/>
    </row>
    <row r="86" spans="1:3" ht="15" customHeight="1">
      <c r="A86" s="277"/>
      <c r="B86" s="32"/>
      <c r="C86" s="21"/>
    </row>
  </sheetData>
  <sheetProtection/>
  <mergeCells count="5">
    <mergeCell ref="A8:A9"/>
    <mergeCell ref="P8:P9"/>
    <mergeCell ref="Q8:Q9"/>
    <mergeCell ref="B8:C8"/>
    <mergeCell ref="D8:O8"/>
  </mergeCells>
  <printOptions horizontalCentered="1"/>
  <pageMargins left="0" right="0" top="0.7874015748031497" bottom="0.3937007874015748" header="0.5118110236220472" footer="0.5118110236220472"/>
  <pageSetup fitToHeight="0" horizontalDpi="600" verticalDpi="600" orientation="landscape" paperSize="9" scale="53" r:id="rId2"/>
  <headerFooter scaleWithDoc="0">
    <oddFooter>&amp;L&amp;8Publicação: Diário Oficial do Município nº 19
Data: 28.01.2021&amp;R&amp;8&amp;P / &amp;N</oddFooter>
  </headerFooter>
  <ignoredErrors>
    <ignoredError sqref="P22 P3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L198"/>
  <sheetViews>
    <sheetView showGridLines="0" view="pageBreakPreview" zoomScaleSheetLayoutView="100" zoomScalePageLayoutView="0" workbookViewId="0" topLeftCell="A1">
      <selection activeCell="H151" sqref="H151"/>
    </sheetView>
  </sheetViews>
  <sheetFormatPr defaultColWidth="4.140625" defaultRowHeight="12.75"/>
  <cols>
    <col min="1" max="1" width="51.8515625" style="23" customWidth="1"/>
    <col min="2" max="2" width="17.421875" style="32" customWidth="1"/>
    <col min="3" max="3" width="18.00390625" style="32" customWidth="1"/>
    <col min="4" max="4" width="10.421875" style="32" customWidth="1"/>
    <col min="5" max="5" width="7.140625" style="32" customWidth="1"/>
    <col min="6" max="6" width="18.00390625" style="32" customWidth="1"/>
    <col min="7" max="7" width="17.8515625" style="32" customWidth="1"/>
    <col min="8" max="8" width="18.28125" style="32" customWidth="1"/>
    <col min="9" max="9" width="17.7109375" style="32" customWidth="1"/>
    <col min="10" max="10" width="17.421875" style="32" customWidth="1"/>
    <col min="11" max="11" width="4.140625" style="22" customWidth="1"/>
    <col min="12" max="12" width="16.28125" style="22" customWidth="1"/>
    <col min="13" max="16384" width="4.140625" style="22" customWidth="1"/>
  </cols>
  <sheetData>
    <row r="1" spans="1:10" s="250" customFormat="1" ht="12" customHeight="1">
      <c r="A1" s="347" t="s">
        <v>439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s="250" customFormat="1" ht="12" customHeight="1">
      <c r="A2" s="347" t="s">
        <v>440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s="250" customFormat="1" ht="12" customHeight="1">
      <c r="A3" s="859" t="s">
        <v>445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 s="250" customFormat="1" ht="12" customHeight="1">
      <c r="A4" s="347" t="s">
        <v>441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1" s="349" customFormat="1" ht="15.75" customHeight="1">
      <c r="A5" s="348" t="str">
        <f>'Anexo 3 _ RCL'!A5</f>
        <v>            Referência: JANEIRO-DEZEMBRO/2020; BIMESTRE: NOVEMBRO-DEZEMBRO/2020</v>
      </c>
      <c r="B5" s="422"/>
      <c r="C5" s="422"/>
      <c r="D5" s="422"/>
      <c r="E5" s="346"/>
      <c r="F5" s="346"/>
      <c r="G5" s="346"/>
      <c r="H5" s="346"/>
      <c r="I5" s="346"/>
      <c r="J5" s="346"/>
      <c r="K5" s="346"/>
    </row>
    <row r="6" spans="1:10" s="250" customFormat="1" ht="12.75" customHeight="1">
      <c r="A6" s="350"/>
      <c r="B6" s="351"/>
      <c r="C6" s="351"/>
      <c r="D6" s="351"/>
      <c r="E6" s="351"/>
      <c r="F6" s="351"/>
      <c r="G6" s="352"/>
      <c r="H6" s="352"/>
      <c r="I6" s="351"/>
      <c r="J6" s="246"/>
    </row>
    <row r="7" spans="1:10" s="250" customFormat="1" ht="12.75" customHeight="1">
      <c r="A7" s="353" t="s">
        <v>448</v>
      </c>
      <c r="B7" s="246"/>
      <c r="C7" s="354"/>
      <c r="D7" s="248"/>
      <c r="E7" s="1748"/>
      <c r="F7" s="1748"/>
      <c r="G7" s="1749"/>
      <c r="H7" s="912"/>
      <c r="I7" s="1750"/>
      <c r="J7" s="1750"/>
    </row>
    <row r="8" spans="1:10" s="250" customFormat="1" ht="21" customHeight="1">
      <c r="A8" s="1727" t="s">
        <v>522</v>
      </c>
      <c r="B8" s="1728"/>
      <c r="C8" s="1728"/>
      <c r="D8" s="1728"/>
      <c r="E8" s="1728"/>
      <c r="F8" s="1728"/>
      <c r="G8" s="1728"/>
      <c r="H8" s="1728"/>
      <c r="I8" s="1728"/>
      <c r="J8" s="1729"/>
    </row>
    <row r="9" spans="1:10" s="250" customFormat="1" ht="21.75" customHeight="1">
      <c r="A9" s="1695" t="s">
        <v>150</v>
      </c>
      <c r="B9" s="1751" t="s">
        <v>144</v>
      </c>
      <c r="C9" s="1751" t="s">
        <v>145</v>
      </c>
      <c r="D9" s="1752" t="s">
        <v>146</v>
      </c>
      <c r="E9" s="1752"/>
      <c r="F9" s="1752"/>
      <c r="G9" s="1752"/>
      <c r="H9" s="1752"/>
      <c r="I9" s="1752"/>
      <c r="J9" s="1753"/>
    </row>
    <row r="10" spans="1:10" s="250" customFormat="1" ht="21.75" customHeight="1">
      <c r="A10" s="1696"/>
      <c r="B10" s="1738"/>
      <c r="C10" s="1738"/>
      <c r="D10" s="1738" t="s">
        <v>745</v>
      </c>
      <c r="E10" s="1738"/>
      <c r="F10" s="1738"/>
      <c r="G10" s="1738"/>
      <c r="H10" s="1754" t="s">
        <v>725</v>
      </c>
      <c r="I10" s="1755"/>
      <c r="J10" s="1756"/>
    </row>
    <row r="11" spans="1:10" s="345" customFormat="1" ht="19.5" customHeight="1">
      <c r="A11" s="1071" t="s">
        <v>138</v>
      </c>
      <c r="B11" s="355">
        <f>B12+B21+B30+B35</f>
        <v>127685106</v>
      </c>
      <c r="C11" s="355">
        <f>C12+C21+C30+C35</f>
        <v>115274986</v>
      </c>
      <c r="D11" s="1720">
        <f>D12+D21+D30+D35</f>
        <v>99649032.13</v>
      </c>
      <c r="E11" s="1720"/>
      <c r="F11" s="1720"/>
      <c r="G11" s="1720"/>
      <c r="H11" s="1742">
        <f>H12+H21+H30+H35</f>
        <v>95624846.94999999</v>
      </c>
      <c r="I11" s="1743"/>
      <c r="J11" s="1744"/>
    </row>
    <row r="12" spans="1:12" s="345" customFormat="1" ht="19.5" customHeight="1">
      <c r="A12" s="1071" t="s">
        <v>501</v>
      </c>
      <c r="B12" s="344">
        <f>B13</f>
        <v>33888571</v>
      </c>
      <c r="C12" s="344">
        <f>C13</f>
        <v>33888571</v>
      </c>
      <c r="D12" s="1701">
        <f>D13</f>
        <v>27006421.61</v>
      </c>
      <c r="E12" s="1701"/>
      <c r="F12" s="1701"/>
      <c r="G12" s="1701"/>
      <c r="H12" s="1703">
        <f>H13</f>
        <v>24278713.36</v>
      </c>
      <c r="I12" s="1704"/>
      <c r="J12" s="1713"/>
      <c r="L12" s="356"/>
    </row>
    <row r="13" spans="1:10" s="345" customFormat="1" ht="19.5" customHeight="1">
      <c r="A13" s="1072" t="s">
        <v>502</v>
      </c>
      <c r="B13" s="344">
        <f>B14+B15+B16</f>
        <v>33888571</v>
      </c>
      <c r="C13" s="344">
        <f>C14+C15+C16</f>
        <v>33888571</v>
      </c>
      <c r="D13" s="1701">
        <f>D14+D15+D16</f>
        <v>27006421.61</v>
      </c>
      <c r="E13" s="1701"/>
      <c r="F13" s="1701"/>
      <c r="G13" s="1701"/>
      <c r="H13" s="1703">
        <f>H14+H15+H16</f>
        <v>24278713.36</v>
      </c>
      <c r="I13" s="1704"/>
      <c r="J13" s="1713"/>
    </row>
    <row r="14" spans="1:10" s="250" customFormat="1" ht="18.75" customHeight="1">
      <c r="A14" s="1073" t="s">
        <v>504</v>
      </c>
      <c r="B14" s="357">
        <v>33888571</v>
      </c>
      <c r="C14" s="357">
        <f>B14</f>
        <v>33888571</v>
      </c>
      <c r="D14" s="1721">
        <v>27006421.61</v>
      </c>
      <c r="E14" s="1721"/>
      <c r="F14" s="1721"/>
      <c r="G14" s="1721"/>
      <c r="H14" s="1710">
        <v>24278713.36</v>
      </c>
      <c r="I14" s="1711"/>
      <c r="J14" s="1712"/>
    </row>
    <row r="15" spans="1:12" s="250" customFormat="1" ht="18.75" customHeight="1">
      <c r="A15" s="1073" t="s">
        <v>505</v>
      </c>
      <c r="B15" s="357"/>
      <c r="C15" s="357"/>
      <c r="D15" s="1721"/>
      <c r="E15" s="1721"/>
      <c r="F15" s="1721"/>
      <c r="G15" s="1721"/>
      <c r="H15" s="1710"/>
      <c r="I15" s="1711"/>
      <c r="J15" s="1712"/>
      <c r="L15" s="358"/>
    </row>
    <row r="16" spans="1:10" s="250" customFormat="1" ht="18.75" customHeight="1">
      <c r="A16" s="1073" t="s">
        <v>506</v>
      </c>
      <c r="B16" s="357"/>
      <c r="C16" s="357"/>
      <c r="D16" s="1721"/>
      <c r="E16" s="1721"/>
      <c r="F16" s="1721"/>
      <c r="G16" s="1721"/>
      <c r="H16" s="1710"/>
      <c r="I16" s="1711"/>
      <c r="J16" s="1712"/>
    </row>
    <row r="17" spans="1:11" s="345" customFormat="1" ht="19.5" customHeight="1">
      <c r="A17" s="1072" t="s">
        <v>503</v>
      </c>
      <c r="B17" s="344">
        <f>B18+B19+B20</f>
        <v>0</v>
      </c>
      <c r="C17" s="344">
        <f>C18+C19+C20</f>
        <v>0</v>
      </c>
      <c r="D17" s="1701">
        <f>D18+D19+D20</f>
        <v>0</v>
      </c>
      <c r="E17" s="1701"/>
      <c r="F17" s="1701"/>
      <c r="G17" s="1701"/>
      <c r="H17" s="1703">
        <f>H18+H19+H20</f>
        <v>0</v>
      </c>
      <c r="I17" s="1704"/>
      <c r="J17" s="1713"/>
      <c r="K17" s="383"/>
    </row>
    <row r="18" spans="1:10" s="250" customFormat="1" ht="18.75" customHeight="1">
      <c r="A18" s="1073" t="s">
        <v>504</v>
      </c>
      <c r="B18" s="357"/>
      <c r="C18" s="357"/>
      <c r="D18" s="1692"/>
      <c r="E18" s="1693"/>
      <c r="F18" s="1693"/>
      <c r="G18" s="1694"/>
      <c r="H18" s="1698"/>
      <c r="I18" s="1698"/>
      <c r="J18" s="1699"/>
    </row>
    <row r="19" spans="1:10" s="250" customFormat="1" ht="18.75" customHeight="1">
      <c r="A19" s="1073" t="s">
        <v>505</v>
      </c>
      <c r="B19" s="357"/>
      <c r="C19" s="357"/>
      <c r="D19" s="1692"/>
      <c r="E19" s="1693"/>
      <c r="F19" s="1693"/>
      <c r="G19" s="1694"/>
      <c r="H19" s="1698"/>
      <c r="I19" s="1698"/>
      <c r="J19" s="1699"/>
    </row>
    <row r="20" spans="1:10" s="250" customFormat="1" ht="16.5" customHeight="1">
      <c r="A20" s="1073" t="s">
        <v>506</v>
      </c>
      <c r="B20" s="357"/>
      <c r="C20" s="357"/>
      <c r="D20" s="1692"/>
      <c r="E20" s="1693"/>
      <c r="F20" s="1693"/>
      <c r="G20" s="1694"/>
      <c r="H20" s="1698"/>
      <c r="I20" s="1698"/>
      <c r="J20" s="1699"/>
    </row>
    <row r="21" spans="1:10" s="345" customFormat="1" ht="19.5" customHeight="1">
      <c r="A21" s="1071" t="s">
        <v>507</v>
      </c>
      <c r="B21" s="344">
        <f>B22+B26</f>
        <v>21383484</v>
      </c>
      <c r="C21" s="344">
        <f>C22+C26</f>
        <v>21383484</v>
      </c>
      <c r="D21" s="1703">
        <f>D22+D26</f>
        <v>19616067.05</v>
      </c>
      <c r="E21" s="1704"/>
      <c r="F21" s="1704"/>
      <c r="G21" s="1705"/>
      <c r="H21" s="1703">
        <f>H22+H26</f>
        <v>16672649.86</v>
      </c>
      <c r="I21" s="1704"/>
      <c r="J21" s="1713"/>
    </row>
    <row r="22" spans="1:10" s="250" customFormat="1" ht="19.5" customHeight="1">
      <c r="A22" s="1072" t="s">
        <v>502</v>
      </c>
      <c r="B22" s="357">
        <f>B23+B24+B25</f>
        <v>21383484</v>
      </c>
      <c r="C22" s="357">
        <f>C23+C24+C25</f>
        <v>21383484</v>
      </c>
      <c r="D22" s="1692">
        <f>D23+D24+D25</f>
        <v>19616067.05</v>
      </c>
      <c r="E22" s="1693"/>
      <c r="F22" s="1693"/>
      <c r="G22" s="1694"/>
      <c r="H22" s="1692">
        <f>H23+H24+H25</f>
        <v>16672649.86</v>
      </c>
      <c r="I22" s="1693"/>
      <c r="J22" s="1716"/>
    </row>
    <row r="23" spans="1:10" s="250" customFormat="1" ht="19.5" customHeight="1">
      <c r="A23" s="1073" t="s">
        <v>504</v>
      </c>
      <c r="B23" s="357">
        <v>21383484</v>
      </c>
      <c r="C23" s="357">
        <f>B23</f>
        <v>21383484</v>
      </c>
      <c r="D23" s="1692">
        <v>19616067.05</v>
      </c>
      <c r="E23" s="1693"/>
      <c r="F23" s="1693"/>
      <c r="G23" s="1694"/>
      <c r="H23" s="1692">
        <v>16672649.86</v>
      </c>
      <c r="I23" s="1693"/>
      <c r="J23" s="1716"/>
    </row>
    <row r="24" spans="1:10" s="250" customFormat="1" ht="18.75" customHeight="1">
      <c r="A24" s="1073" t="s">
        <v>505</v>
      </c>
      <c r="B24" s="357"/>
      <c r="C24" s="357"/>
      <c r="D24" s="1692"/>
      <c r="E24" s="1693"/>
      <c r="F24" s="1693"/>
      <c r="G24" s="1694"/>
      <c r="H24" s="1692"/>
      <c r="I24" s="1693"/>
      <c r="J24" s="1716"/>
    </row>
    <row r="25" spans="1:10" s="250" customFormat="1" ht="19.5" customHeight="1">
      <c r="A25" s="1073" t="s">
        <v>506</v>
      </c>
      <c r="B25" s="357"/>
      <c r="C25" s="357"/>
      <c r="D25" s="1692"/>
      <c r="E25" s="1693"/>
      <c r="F25" s="1693"/>
      <c r="G25" s="1694"/>
      <c r="H25" s="1692"/>
      <c r="I25" s="1693"/>
      <c r="J25" s="1716"/>
    </row>
    <row r="26" spans="1:10" s="250" customFormat="1" ht="19.5" customHeight="1">
      <c r="A26" s="1072" t="s">
        <v>503</v>
      </c>
      <c r="B26" s="357">
        <f>B27+B28+B29</f>
        <v>0</v>
      </c>
      <c r="C26" s="357">
        <f>C27+C28+C29</f>
        <v>0</v>
      </c>
      <c r="D26" s="1692">
        <f>D27+D28+D29</f>
        <v>0</v>
      </c>
      <c r="E26" s="1693"/>
      <c r="F26" s="1693"/>
      <c r="G26" s="1694"/>
      <c r="H26" s="1692">
        <f>H27+H28+H29</f>
        <v>0</v>
      </c>
      <c r="I26" s="1693"/>
      <c r="J26" s="1716"/>
    </row>
    <row r="27" spans="1:10" s="250" customFormat="1" ht="17.25" customHeight="1">
      <c r="A27" s="1073" t="s">
        <v>504</v>
      </c>
      <c r="B27" s="357"/>
      <c r="C27" s="357"/>
      <c r="D27" s="1692"/>
      <c r="E27" s="1693"/>
      <c r="F27" s="1693"/>
      <c r="G27" s="1694"/>
      <c r="H27" s="1692"/>
      <c r="I27" s="1693"/>
      <c r="J27" s="1716"/>
    </row>
    <row r="28" spans="1:10" s="250" customFormat="1" ht="17.25" customHeight="1">
      <c r="A28" s="1073" t="s">
        <v>505</v>
      </c>
      <c r="B28" s="357"/>
      <c r="C28" s="357"/>
      <c r="D28" s="1692"/>
      <c r="E28" s="1693"/>
      <c r="F28" s="1693"/>
      <c r="G28" s="1694"/>
      <c r="H28" s="1692"/>
      <c r="I28" s="1693"/>
      <c r="J28" s="1716"/>
    </row>
    <row r="29" spans="1:10" s="250" customFormat="1" ht="18.75" customHeight="1">
      <c r="A29" s="1073" t="s">
        <v>506</v>
      </c>
      <c r="B29" s="357"/>
      <c r="C29" s="357"/>
      <c r="D29" s="1692"/>
      <c r="E29" s="1693"/>
      <c r="F29" s="1693"/>
      <c r="G29" s="1694"/>
      <c r="H29" s="1692"/>
      <c r="I29" s="1693"/>
      <c r="J29" s="1716"/>
    </row>
    <row r="30" spans="1:10" s="345" customFormat="1" ht="19.5" customHeight="1">
      <c r="A30" s="1071" t="s">
        <v>139</v>
      </c>
      <c r="B30" s="344">
        <f>B31+B32+B33</f>
        <v>60002931</v>
      </c>
      <c r="C30" s="344">
        <f>C31+C32+C33</f>
        <v>60002931</v>
      </c>
      <c r="D30" s="1720">
        <f>D31+D32+D33</f>
        <v>39253104.34</v>
      </c>
      <c r="E30" s="1720"/>
      <c r="F30" s="1720"/>
      <c r="G30" s="1720"/>
      <c r="H30" s="1742">
        <f>H31+H32+H33</f>
        <v>38053466.519999996</v>
      </c>
      <c r="I30" s="1743"/>
      <c r="J30" s="1744"/>
    </row>
    <row r="31" spans="1:10" s="250" customFormat="1" ht="19.5" customHeight="1">
      <c r="A31" s="1074" t="s">
        <v>12</v>
      </c>
      <c r="B31" s="357"/>
      <c r="C31" s="357"/>
      <c r="D31" s="1692"/>
      <c r="E31" s="1693"/>
      <c r="F31" s="1693"/>
      <c r="G31" s="1694"/>
      <c r="H31" s="1692">
        <v>1374671.82</v>
      </c>
      <c r="I31" s="1693"/>
      <c r="J31" s="1716"/>
    </row>
    <row r="32" spans="1:10" s="250" customFormat="1" ht="19.5" customHeight="1">
      <c r="A32" s="1074" t="s">
        <v>13</v>
      </c>
      <c r="B32" s="357">
        <v>43222294</v>
      </c>
      <c r="C32" s="357">
        <f>B32</f>
        <v>43222294</v>
      </c>
      <c r="D32" s="1721">
        <v>39224499.39</v>
      </c>
      <c r="E32" s="1721"/>
      <c r="F32" s="1721"/>
      <c r="G32" s="1721"/>
      <c r="H32" s="1717">
        <v>36671891.87</v>
      </c>
      <c r="I32" s="1718"/>
      <c r="J32" s="1719"/>
    </row>
    <row r="33" spans="1:10" s="250" customFormat="1" ht="19.5" customHeight="1">
      <c r="A33" s="1074" t="s">
        <v>14</v>
      </c>
      <c r="B33" s="357">
        <v>16780637</v>
      </c>
      <c r="C33" s="357">
        <f>B33</f>
        <v>16780637</v>
      </c>
      <c r="D33" s="1692">
        <v>28604.95</v>
      </c>
      <c r="E33" s="1693"/>
      <c r="F33" s="1693"/>
      <c r="G33" s="1694"/>
      <c r="H33" s="1717">
        <v>6902.83</v>
      </c>
      <c r="I33" s="1718"/>
      <c r="J33" s="1719"/>
    </row>
    <row r="34" spans="1:10" s="250" customFormat="1" ht="19.5" customHeight="1">
      <c r="A34" s="1071" t="s">
        <v>16</v>
      </c>
      <c r="B34" s="357"/>
      <c r="C34" s="357"/>
      <c r="D34" s="1692"/>
      <c r="E34" s="1693"/>
      <c r="F34" s="1693"/>
      <c r="G34" s="1694"/>
      <c r="H34" s="1698"/>
      <c r="I34" s="1698"/>
      <c r="J34" s="1699"/>
    </row>
    <row r="35" spans="1:10" s="345" customFormat="1" ht="19.5" customHeight="1">
      <c r="A35" s="1071" t="s">
        <v>141</v>
      </c>
      <c r="B35" s="344">
        <f>B36+B38</f>
        <v>12410120</v>
      </c>
      <c r="C35" s="344">
        <f>C36+C38</f>
        <v>0</v>
      </c>
      <c r="D35" s="1720">
        <f>D36+D38</f>
        <v>13773439.13</v>
      </c>
      <c r="E35" s="1720"/>
      <c r="F35" s="1720"/>
      <c r="G35" s="1720"/>
      <c r="H35" s="1742">
        <f>H36+H38</f>
        <v>16620017.21</v>
      </c>
      <c r="I35" s="1743"/>
      <c r="J35" s="1744"/>
    </row>
    <row r="36" spans="1:10" s="250" customFormat="1" ht="19.5" customHeight="1">
      <c r="A36" s="1074" t="s">
        <v>509</v>
      </c>
      <c r="B36" s="357">
        <v>12410120</v>
      </c>
      <c r="C36" s="357"/>
      <c r="D36" s="1721">
        <v>13773439.13</v>
      </c>
      <c r="E36" s="1721"/>
      <c r="F36" s="1721"/>
      <c r="G36" s="1721"/>
      <c r="H36" s="1717">
        <v>16620017.21</v>
      </c>
      <c r="I36" s="1718"/>
      <c r="J36" s="1719"/>
    </row>
    <row r="37" spans="1:10" s="250" customFormat="1" ht="19.5" customHeight="1">
      <c r="A37" s="1074" t="s">
        <v>530</v>
      </c>
      <c r="B37" s="357"/>
      <c r="C37" s="357"/>
      <c r="D37" s="1710"/>
      <c r="E37" s="1711"/>
      <c r="F37" s="1711"/>
      <c r="G37" s="1722"/>
      <c r="H37" s="1717"/>
      <c r="I37" s="1718"/>
      <c r="J37" s="1719"/>
    </row>
    <row r="38" spans="1:10" s="250" customFormat="1" ht="19.5" customHeight="1">
      <c r="A38" s="1075" t="s">
        <v>529</v>
      </c>
      <c r="B38" s="357"/>
      <c r="C38" s="357"/>
      <c r="D38" s="1721"/>
      <c r="E38" s="1721"/>
      <c r="F38" s="1721"/>
      <c r="G38" s="1721"/>
      <c r="H38" s="1717"/>
      <c r="I38" s="1718"/>
      <c r="J38" s="1719"/>
    </row>
    <row r="39" spans="1:10" s="345" customFormat="1" ht="19.5" customHeight="1">
      <c r="A39" s="991" t="s">
        <v>531</v>
      </c>
      <c r="B39" s="344">
        <f>B40+B41+B42</f>
        <v>0</v>
      </c>
      <c r="C39" s="344">
        <f>C40+C41+C42</f>
        <v>0</v>
      </c>
      <c r="D39" s="1701">
        <f>D40+D41+D42</f>
        <v>0</v>
      </c>
      <c r="E39" s="1701"/>
      <c r="F39" s="1701"/>
      <c r="G39" s="1701"/>
      <c r="H39" s="1698">
        <f>H40+H41+H42</f>
        <v>0</v>
      </c>
      <c r="I39" s="1698"/>
      <c r="J39" s="1699"/>
    </row>
    <row r="40" spans="1:10" s="250" customFormat="1" ht="19.5" customHeight="1">
      <c r="A40" s="1075" t="s">
        <v>147</v>
      </c>
      <c r="B40" s="357"/>
      <c r="C40" s="357"/>
      <c r="D40" s="1692"/>
      <c r="E40" s="1693"/>
      <c r="F40" s="1693"/>
      <c r="G40" s="1694"/>
      <c r="H40" s="1698"/>
      <c r="I40" s="1698"/>
      <c r="J40" s="1699"/>
    </row>
    <row r="41" spans="1:10" s="250" customFormat="1" ht="19.5" customHeight="1">
      <c r="A41" s="1075" t="s">
        <v>148</v>
      </c>
      <c r="B41" s="357"/>
      <c r="C41" s="357"/>
      <c r="D41" s="1692"/>
      <c r="E41" s="1693"/>
      <c r="F41" s="1693"/>
      <c r="G41" s="1694"/>
      <c r="H41" s="1698"/>
      <c r="I41" s="1698"/>
      <c r="J41" s="1699"/>
    </row>
    <row r="42" spans="1:10" s="250" customFormat="1" ht="19.5" customHeight="1">
      <c r="A42" s="1075" t="s">
        <v>149</v>
      </c>
      <c r="B42" s="357"/>
      <c r="C42" s="357"/>
      <c r="D42" s="1692"/>
      <c r="E42" s="1693"/>
      <c r="F42" s="1693"/>
      <c r="G42" s="1694"/>
      <c r="H42" s="1698"/>
      <c r="I42" s="1698"/>
      <c r="J42" s="1699"/>
    </row>
    <row r="43" spans="1:12" s="250" customFormat="1" ht="19.5" customHeight="1">
      <c r="A43" s="1222" t="s">
        <v>532</v>
      </c>
      <c r="B43" s="344">
        <f>B11+B39</f>
        <v>127685106</v>
      </c>
      <c r="C43" s="344">
        <f>C11+C39</f>
        <v>115274986</v>
      </c>
      <c r="D43" s="1701">
        <f>D11+D39</f>
        <v>99649032.13</v>
      </c>
      <c r="E43" s="1701"/>
      <c r="F43" s="1701"/>
      <c r="G43" s="1701"/>
      <c r="H43" s="1703">
        <f>H11+H39</f>
        <v>95624846.94999999</v>
      </c>
      <c r="I43" s="1704"/>
      <c r="J43" s="1713"/>
      <c r="L43" s="361"/>
    </row>
    <row r="44" spans="1:10" s="250" customFormat="1" ht="8.25" customHeight="1">
      <c r="A44" s="353"/>
      <c r="B44" s="244"/>
      <c r="C44" s="244"/>
      <c r="D44" s="244"/>
      <c r="E44" s="244"/>
      <c r="F44" s="244"/>
      <c r="G44" s="244"/>
      <c r="H44" s="381"/>
      <c r="I44" s="381"/>
      <c r="J44" s="381"/>
    </row>
    <row r="45" spans="1:10" s="250" customFormat="1" ht="12.75" customHeight="1">
      <c r="A45" s="1730" t="s">
        <v>533</v>
      </c>
      <c r="B45" s="1731" t="s">
        <v>151</v>
      </c>
      <c r="C45" s="1731" t="s">
        <v>152</v>
      </c>
      <c r="D45" s="1733" t="s">
        <v>324</v>
      </c>
      <c r="E45" s="1734"/>
      <c r="F45" s="1735"/>
      <c r="G45" s="1723" t="s">
        <v>385</v>
      </c>
      <c r="H45" s="1724"/>
      <c r="I45" s="1723" t="s">
        <v>153</v>
      </c>
      <c r="J45" s="1724"/>
    </row>
    <row r="46" spans="1:10" s="250" customFormat="1" ht="12.75" customHeight="1">
      <c r="A46" s="1730"/>
      <c r="B46" s="1731"/>
      <c r="C46" s="1731"/>
      <c r="D46" s="1736"/>
      <c r="E46" s="1737"/>
      <c r="F46" s="1726"/>
      <c r="G46" s="1725"/>
      <c r="H46" s="1726"/>
      <c r="I46" s="1725"/>
      <c r="J46" s="1726"/>
    </row>
    <row r="47" spans="1:10" s="250" customFormat="1" ht="30">
      <c r="A47" s="1730"/>
      <c r="B47" s="1731"/>
      <c r="C47" s="1731"/>
      <c r="D47" s="1738" t="s">
        <v>65</v>
      </c>
      <c r="E47" s="1738"/>
      <c r="F47" s="900" t="s">
        <v>725</v>
      </c>
      <c r="G47" s="901" t="s">
        <v>65</v>
      </c>
      <c r="H47" s="900" t="s">
        <v>725</v>
      </c>
      <c r="I47" s="902" t="s">
        <v>386</v>
      </c>
      <c r="J47" s="1088" t="s">
        <v>388</v>
      </c>
    </row>
    <row r="48" spans="1:10" s="345" customFormat="1" ht="19.5" customHeight="1">
      <c r="A48" s="1078" t="s">
        <v>511</v>
      </c>
      <c r="B48" s="344">
        <f>B49+B50+B51</f>
        <v>150400</v>
      </c>
      <c r="C48" s="344">
        <f>C49+C50+C51</f>
        <v>150400</v>
      </c>
      <c r="D48" s="1732">
        <f>D49+D50+D51</f>
        <v>0</v>
      </c>
      <c r="E48" s="1732"/>
      <c r="F48" s="362">
        <f>F49+F50+F51</f>
        <v>0</v>
      </c>
      <c r="G48" s="363">
        <f>G49+G50+G51</f>
        <v>0</v>
      </c>
      <c r="H48" s="362">
        <f>H49+H50+H51</f>
        <v>0</v>
      </c>
      <c r="I48" s="363">
        <f>I49+I50+I51</f>
        <v>0</v>
      </c>
      <c r="J48" s="1089">
        <f>J49+J50+J51</f>
        <v>0</v>
      </c>
    </row>
    <row r="49" spans="1:10" s="250" customFormat="1" ht="18.75" customHeight="1">
      <c r="A49" s="1079" t="s">
        <v>154</v>
      </c>
      <c r="B49" s="357">
        <v>75200</v>
      </c>
      <c r="C49" s="357">
        <f>B49</f>
        <v>75200</v>
      </c>
      <c r="D49" s="1758"/>
      <c r="E49" s="1758"/>
      <c r="F49" s="364"/>
      <c r="G49" s="365"/>
      <c r="H49" s="366"/>
      <c r="I49" s="366">
        <f>D49-G49</f>
        <v>0</v>
      </c>
      <c r="J49" s="1090">
        <f>F49-H49</f>
        <v>0</v>
      </c>
    </row>
    <row r="50" spans="1:10" s="250" customFormat="1" ht="17.25" customHeight="1">
      <c r="A50" s="1079" t="s">
        <v>155</v>
      </c>
      <c r="B50" s="357">
        <v>75200</v>
      </c>
      <c r="C50" s="357">
        <f>B50</f>
        <v>75200</v>
      </c>
      <c r="D50" s="1758"/>
      <c r="E50" s="1758"/>
      <c r="F50" s="364"/>
      <c r="G50" s="365"/>
      <c r="H50" s="366"/>
      <c r="I50" s="366">
        <f>D50-G50</f>
        <v>0</v>
      </c>
      <c r="J50" s="1090">
        <f>F50-H50</f>
        <v>0</v>
      </c>
    </row>
    <row r="51" spans="1:10" s="250" customFormat="1" ht="19.5" customHeight="1">
      <c r="A51" s="1079" t="s">
        <v>156</v>
      </c>
      <c r="B51" s="357"/>
      <c r="C51" s="357"/>
      <c r="D51" s="1717"/>
      <c r="E51" s="1759"/>
      <c r="F51" s="364"/>
      <c r="G51" s="365"/>
      <c r="H51" s="366"/>
      <c r="I51" s="366"/>
      <c r="J51" s="1090"/>
    </row>
    <row r="52" spans="1:10" s="345" customFormat="1" ht="19.5" customHeight="1">
      <c r="A52" s="1078" t="s">
        <v>512</v>
      </c>
      <c r="B52" s="363">
        <f>B53+B54+B55</f>
        <v>0</v>
      </c>
      <c r="C52" s="363">
        <f>C53+C54+C55</f>
        <v>0</v>
      </c>
      <c r="D52" s="1717">
        <f>D53+D54+D55</f>
        <v>0</v>
      </c>
      <c r="E52" s="1759"/>
      <c r="F52" s="363">
        <f>F53+F54+F55</f>
        <v>0</v>
      </c>
      <c r="G52" s="363">
        <v>0</v>
      </c>
      <c r="H52" s="363">
        <f>H53+H54+H55</f>
        <v>0</v>
      </c>
      <c r="I52" s="363">
        <f>I53+I54+I55</f>
        <v>0</v>
      </c>
      <c r="J52" s="1089">
        <v>0</v>
      </c>
    </row>
    <row r="53" spans="1:10" s="250" customFormat="1" ht="17.25" customHeight="1">
      <c r="A53" s="1079" t="s">
        <v>157</v>
      </c>
      <c r="B53" s="357"/>
      <c r="C53" s="357"/>
      <c r="D53" s="1717"/>
      <c r="E53" s="1759"/>
      <c r="F53" s="359"/>
      <c r="G53" s="365"/>
      <c r="H53" s="366"/>
      <c r="I53" s="366"/>
      <c r="J53" s="1090"/>
    </row>
    <row r="54" spans="1:10" s="250" customFormat="1" ht="16.5" customHeight="1">
      <c r="A54" s="1079" t="s">
        <v>155</v>
      </c>
      <c r="B54" s="357"/>
      <c r="C54" s="357"/>
      <c r="D54" s="1717"/>
      <c r="E54" s="1759"/>
      <c r="F54" s="359"/>
      <c r="G54" s="365"/>
      <c r="H54" s="366"/>
      <c r="I54" s="366"/>
      <c r="J54" s="1090"/>
    </row>
    <row r="55" spans="1:12" s="345" customFormat="1" ht="17.25" customHeight="1">
      <c r="A55" s="1079" t="s">
        <v>156</v>
      </c>
      <c r="B55" s="367"/>
      <c r="C55" s="367"/>
      <c r="D55" s="1714"/>
      <c r="E55" s="1715"/>
      <c r="F55" s="367"/>
      <c r="G55" s="367"/>
      <c r="H55" s="363"/>
      <c r="I55" s="363"/>
      <c r="J55" s="1089"/>
      <c r="L55" s="356"/>
    </row>
    <row r="56" spans="1:10" s="345" customFormat="1" ht="19.5" customHeight="1">
      <c r="A56" s="1080" t="s">
        <v>513</v>
      </c>
      <c r="B56" s="367">
        <f>B57+B58</f>
        <v>0</v>
      </c>
      <c r="C56" s="367">
        <f>C57+C58</f>
        <v>0</v>
      </c>
      <c r="D56" s="1714">
        <f>D57+D58</f>
        <v>0</v>
      </c>
      <c r="E56" s="1715"/>
      <c r="F56" s="367">
        <f>F57+F58</f>
        <v>0</v>
      </c>
      <c r="G56" s="367">
        <v>0</v>
      </c>
      <c r="H56" s="362">
        <f>H57+H58</f>
        <v>0</v>
      </c>
      <c r="I56" s="363">
        <v>0</v>
      </c>
      <c r="J56" s="1089">
        <v>0</v>
      </c>
    </row>
    <row r="57" spans="1:10" s="250" customFormat="1" ht="19.5" customHeight="1">
      <c r="A57" s="1081" t="s">
        <v>514</v>
      </c>
      <c r="B57" s="357"/>
      <c r="C57" s="357"/>
      <c r="D57" s="1717"/>
      <c r="E57" s="1759"/>
      <c r="F57" s="359"/>
      <c r="G57" s="365"/>
      <c r="H57" s="366"/>
      <c r="I57" s="366"/>
      <c r="J57" s="1090"/>
    </row>
    <row r="58" spans="1:10" s="250" customFormat="1" ht="19.5" customHeight="1">
      <c r="A58" s="1077" t="s">
        <v>515</v>
      </c>
      <c r="B58" s="357"/>
      <c r="C58" s="357"/>
      <c r="D58" s="1717"/>
      <c r="E58" s="1759"/>
      <c r="F58" s="359"/>
      <c r="G58" s="365"/>
      <c r="H58" s="366"/>
      <c r="I58" s="366"/>
      <c r="J58" s="1090"/>
    </row>
    <row r="59" spans="1:10" s="345" customFormat="1" ht="19.5" customHeight="1">
      <c r="A59" s="1082" t="s">
        <v>756</v>
      </c>
      <c r="B59" s="344">
        <f>B48+B52+B56</f>
        <v>150400</v>
      </c>
      <c r="C59" s="344">
        <f aca="true" t="shared" si="0" ref="C59:J59">C48+C52+C56</f>
        <v>150400</v>
      </c>
      <c r="D59" s="1764">
        <f t="shared" si="0"/>
        <v>0</v>
      </c>
      <c r="E59" s="1765"/>
      <c r="F59" s="344">
        <f t="shared" si="0"/>
        <v>0</v>
      </c>
      <c r="G59" s="344">
        <f t="shared" si="0"/>
        <v>0</v>
      </c>
      <c r="H59" s="344">
        <f t="shared" si="0"/>
        <v>0</v>
      </c>
      <c r="I59" s="344">
        <f t="shared" si="0"/>
        <v>0</v>
      </c>
      <c r="J59" s="344">
        <f t="shared" si="0"/>
        <v>0</v>
      </c>
    </row>
    <row r="60" spans="1:10" s="345" customFormat="1" ht="15.75" customHeight="1">
      <c r="A60" s="1082"/>
      <c r="B60" s="344"/>
      <c r="C60" s="344"/>
      <c r="D60" s="895"/>
      <c r="E60" s="896"/>
      <c r="F60" s="368"/>
      <c r="G60" s="368"/>
      <c r="H60" s="368"/>
      <c r="I60" s="368"/>
      <c r="J60" s="1091"/>
    </row>
    <row r="61" spans="1:89" s="345" customFormat="1" ht="19.5" customHeight="1">
      <c r="A61" s="1083" t="s">
        <v>757</v>
      </c>
      <c r="B61" s="903">
        <f>B43-B59</f>
        <v>127534706</v>
      </c>
      <c r="C61" s="903">
        <f>C43-C59</f>
        <v>115124586</v>
      </c>
      <c r="D61" s="1766">
        <f>D43-D59</f>
        <v>99649032.13</v>
      </c>
      <c r="E61" s="1767"/>
      <c r="F61" s="904">
        <f>H43-F59</f>
        <v>95624846.94999999</v>
      </c>
      <c r="G61" s="904">
        <f>D43-G59</f>
        <v>99649032.13</v>
      </c>
      <c r="H61" s="904">
        <f>H43-H59</f>
        <v>95624846.94999999</v>
      </c>
      <c r="I61" s="904">
        <f>I43-I59</f>
        <v>0</v>
      </c>
      <c r="J61" s="1409"/>
      <c r="K61" s="1212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3"/>
      <c r="CH61" s="383"/>
      <c r="CI61" s="383"/>
      <c r="CJ61" s="383"/>
      <c r="CK61" s="383"/>
    </row>
    <row r="62" spans="1:89" s="250" customFormat="1" ht="16.5" customHeight="1">
      <c r="A62" s="905"/>
      <c r="B62" s="906"/>
      <c r="C62" s="907"/>
      <c r="D62" s="1757"/>
      <c r="E62" s="1757"/>
      <c r="F62" s="908"/>
      <c r="G62" s="908"/>
      <c r="H62" s="908"/>
      <c r="I62" s="909"/>
      <c r="J62" s="1211"/>
      <c r="K62" s="1084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</row>
    <row r="63" spans="1:89" s="345" customFormat="1" ht="20.25" customHeight="1">
      <c r="A63" s="1223" t="s">
        <v>758</v>
      </c>
      <c r="B63" s="1739" t="s">
        <v>582</v>
      </c>
      <c r="C63" s="1740"/>
      <c r="D63" s="1740"/>
      <c r="E63" s="1740"/>
      <c r="F63" s="1740"/>
      <c r="G63" s="1740"/>
      <c r="H63" s="1740"/>
      <c r="I63" s="1740"/>
      <c r="J63" s="1741"/>
      <c r="K63" s="1212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  <c r="BW63" s="383"/>
      <c r="BX63" s="383"/>
      <c r="BY63" s="383"/>
      <c r="BZ63" s="383"/>
      <c r="CA63" s="383"/>
      <c r="CB63" s="383"/>
      <c r="CC63" s="383"/>
      <c r="CD63" s="383"/>
      <c r="CE63" s="383"/>
      <c r="CF63" s="383"/>
      <c r="CG63" s="383"/>
      <c r="CH63" s="383"/>
      <c r="CI63" s="383"/>
      <c r="CJ63" s="383"/>
      <c r="CK63" s="383"/>
    </row>
    <row r="64" spans="1:89" s="250" customFormat="1" ht="20.25" customHeight="1">
      <c r="A64" s="1224" t="s">
        <v>164</v>
      </c>
      <c r="B64" s="1745">
        <v>0</v>
      </c>
      <c r="C64" s="1746"/>
      <c r="D64" s="1746"/>
      <c r="E64" s="1746"/>
      <c r="F64" s="1746"/>
      <c r="G64" s="1746"/>
      <c r="H64" s="1746"/>
      <c r="I64" s="1746"/>
      <c r="J64" s="1747"/>
      <c r="K64" s="1084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</row>
    <row r="65" spans="1:89" s="250" customFormat="1" ht="10.5" customHeight="1">
      <c r="A65" s="1706"/>
      <c r="B65" s="1707"/>
      <c r="C65" s="1707"/>
      <c r="D65" s="1707"/>
      <c r="E65" s="1707"/>
      <c r="F65" s="1707"/>
      <c r="G65" s="1707"/>
      <c r="H65" s="1707"/>
      <c r="I65" s="1707"/>
      <c r="J65" s="1708"/>
      <c r="K65" s="1084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</row>
    <row r="66" spans="1:89" s="345" customFormat="1" ht="20.25" customHeight="1">
      <c r="A66" s="1223" t="s">
        <v>163</v>
      </c>
      <c r="B66" s="1739" t="s">
        <v>582</v>
      </c>
      <c r="C66" s="1740"/>
      <c r="D66" s="1740"/>
      <c r="E66" s="1740"/>
      <c r="F66" s="1740"/>
      <c r="G66" s="1740"/>
      <c r="H66" s="1740"/>
      <c r="I66" s="1740"/>
      <c r="J66" s="1741"/>
      <c r="K66" s="1212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</row>
    <row r="67" spans="1:89" s="911" customFormat="1" ht="21.75" customHeight="1">
      <c r="A67" s="1156" t="s">
        <v>164</v>
      </c>
      <c r="B67" s="1777">
        <v>31104453.22</v>
      </c>
      <c r="C67" s="1778"/>
      <c r="D67" s="1778"/>
      <c r="E67" s="1778"/>
      <c r="F67" s="1778"/>
      <c r="G67" s="1778"/>
      <c r="H67" s="1778"/>
      <c r="I67" s="1778"/>
      <c r="J67" s="1779"/>
      <c r="K67" s="1084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</row>
    <row r="68" spans="1:10" s="250" customFormat="1" ht="14.25" customHeight="1">
      <c r="A68" s="1084"/>
      <c r="B68" s="369"/>
      <c r="C68" s="370"/>
      <c r="D68" s="371"/>
      <c r="E68" s="371"/>
      <c r="F68" s="371"/>
      <c r="G68" s="371"/>
      <c r="H68" s="371"/>
      <c r="I68" s="372"/>
      <c r="J68" s="373"/>
    </row>
    <row r="69" spans="1:10" s="247" customFormat="1" ht="16.5" customHeight="1">
      <c r="A69" s="1781" t="s">
        <v>534</v>
      </c>
      <c r="B69" s="1780" t="s">
        <v>387</v>
      </c>
      <c r="C69" s="1780"/>
      <c r="D69" s="1780"/>
      <c r="E69" s="1780"/>
      <c r="F69" s="1780"/>
      <c r="G69" s="1780"/>
      <c r="H69" s="1780"/>
      <c r="I69" s="1780"/>
      <c r="J69" s="1780"/>
    </row>
    <row r="70" spans="1:10" s="247" customFormat="1" ht="15.75" customHeight="1">
      <c r="A70" s="1781"/>
      <c r="B70" s="1780"/>
      <c r="C70" s="1780"/>
      <c r="D70" s="1780"/>
      <c r="E70" s="1780"/>
      <c r="F70" s="1780"/>
      <c r="G70" s="1780"/>
      <c r="H70" s="1780"/>
      <c r="I70" s="1780"/>
      <c r="J70" s="1780"/>
    </row>
    <row r="71" spans="1:10" s="247" customFormat="1" ht="16.5" customHeight="1" hidden="1">
      <c r="A71" s="1781"/>
      <c r="B71" s="1780"/>
      <c r="C71" s="1780"/>
      <c r="D71" s="1780"/>
      <c r="E71" s="1780"/>
      <c r="F71" s="1780"/>
      <c r="G71" s="1780"/>
      <c r="H71" s="1780"/>
      <c r="I71" s="1780"/>
      <c r="J71" s="1780"/>
    </row>
    <row r="72" spans="1:10" s="247" customFormat="1" ht="15">
      <c r="A72" s="1413" t="s">
        <v>516</v>
      </c>
      <c r="B72" s="1768"/>
      <c r="C72" s="1769"/>
      <c r="D72" s="1769"/>
      <c r="E72" s="1769"/>
      <c r="F72" s="1769"/>
      <c r="G72" s="1769"/>
      <c r="H72" s="1769"/>
      <c r="I72" s="1769"/>
      <c r="J72" s="1769"/>
    </row>
    <row r="73" spans="1:10" s="247" customFormat="1" ht="15">
      <c r="A73" s="1414" t="s">
        <v>940</v>
      </c>
      <c r="B73" s="1709"/>
      <c r="C73" s="1709"/>
      <c r="D73" s="1709"/>
      <c r="E73" s="1709"/>
      <c r="F73" s="1709"/>
      <c r="G73" s="1709"/>
      <c r="H73" s="1709"/>
      <c r="I73" s="1709"/>
      <c r="J73" s="1709"/>
    </row>
    <row r="74" spans="1:10" s="247" customFormat="1" ht="15">
      <c r="A74" s="1415" t="s">
        <v>517</v>
      </c>
      <c r="B74" s="1709"/>
      <c r="C74" s="1709"/>
      <c r="D74" s="1709"/>
      <c r="E74" s="1709"/>
      <c r="F74" s="1709"/>
      <c r="G74" s="1709"/>
      <c r="H74" s="1709"/>
      <c r="I74" s="1709"/>
      <c r="J74" s="1709"/>
    </row>
    <row r="75" spans="1:10" s="247" customFormat="1" ht="15">
      <c r="A75" s="1416" t="s">
        <v>518</v>
      </c>
      <c r="B75" s="1709"/>
      <c r="C75" s="1709"/>
      <c r="D75" s="1709"/>
      <c r="E75" s="1709"/>
      <c r="F75" s="1709"/>
      <c r="G75" s="1709"/>
      <c r="H75" s="1709"/>
      <c r="I75" s="1709"/>
      <c r="J75" s="1709"/>
    </row>
    <row r="76" spans="1:10" s="247" customFormat="1" ht="1.5" customHeight="1">
      <c r="A76" s="1085"/>
      <c r="B76" s="369"/>
      <c r="C76" s="370"/>
      <c r="D76" s="370"/>
      <c r="E76" s="370"/>
      <c r="F76" s="370"/>
      <c r="G76" s="370"/>
      <c r="H76" s="370"/>
      <c r="I76" s="370"/>
      <c r="J76" s="1093"/>
    </row>
    <row r="77" spans="1:10" s="250" customFormat="1" ht="5.25" customHeight="1" hidden="1">
      <c r="A77" s="1086"/>
      <c r="B77" s="351"/>
      <c r="C77" s="351"/>
      <c r="D77" s="351"/>
      <c r="E77" s="351"/>
      <c r="F77" s="351"/>
      <c r="G77" s="351"/>
      <c r="H77" s="351"/>
      <c r="I77" s="351"/>
      <c r="J77" s="1094"/>
    </row>
    <row r="78" spans="1:10" s="247" customFormat="1" ht="17.25" customHeight="1">
      <c r="A78" s="1770" t="s">
        <v>165</v>
      </c>
      <c r="B78" s="1774" t="s">
        <v>166</v>
      </c>
      <c r="C78" s="1775"/>
      <c r="D78" s="1775"/>
      <c r="E78" s="1775"/>
      <c r="F78" s="1775"/>
      <c r="G78" s="1775"/>
      <c r="H78" s="1775"/>
      <c r="I78" s="1775"/>
      <c r="J78" s="1776"/>
    </row>
    <row r="79" spans="1:10" s="247" customFormat="1" ht="17.25" customHeight="1">
      <c r="A79" s="1770"/>
      <c r="B79" s="1782" t="s">
        <v>183</v>
      </c>
      <c r="C79" s="1772"/>
      <c r="D79" s="1772"/>
      <c r="E79" s="1772"/>
      <c r="F79" s="1772"/>
      <c r="G79" s="1771" t="s">
        <v>279</v>
      </c>
      <c r="H79" s="1772"/>
      <c r="I79" s="1772"/>
      <c r="J79" s="1773"/>
    </row>
    <row r="80" spans="1:15" s="247" customFormat="1" ht="20.25" customHeight="1">
      <c r="A80" s="1087" t="s">
        <v>519</v>
      </c>
      <c r="B80" s="1760">
        <v>40951198.1</v>
      </c>
      <c r="C80" s="1761"/>
      <c r="D80" s="1761"/>
      <c r="E80" s="1761"/>
      <c r="F80" s="1763"/>
      <c r="G80" s="1760">
        <v>32745411.86</v>
      </c>
      <c r="H80" s="1761"/>
      <c r="I80" s="1761"/>
      <c r="J80" s="1762"/>
      <c r="L80" s="1784"/>
      <c r="M80" s="1784"/>
      <c r="N80" s="1784"/>
      <c r="O80" s="1784"/>
    </row>
    <row r="81" spans="1:15" s="247" customFormat="1" ht="21" customHeight="1">
      <c r="A81" s="1087" t="s">
        <v>520</v>
      </c>
      <c r="B81" s="1760">
        <v>462181758.3</v>
      </c>
      <c r="C81" s="1761"/>
      <c r="D81" s="1761"/>
      <c r="E81" s="1761"/>
      <c r="F81" s="1763"/>
      <c r="G81" s="1760">
        <v>348160236.2</v>
      </c>
      <c r="H81" s="1761"/>
      <c r="I81" s="1761"/>
      <c r="J81" s="1762"/>
      <c r="L81" s="1784"/>
      <c r="M81" s="1784"/>
      <c r="N81" s="1784"/>
      <c r="O81" s="1784"/>
    </row>
    <row r="82" spans="1:15" s="247" customFormat="1" ht="23.25" customHeight="1">
      <c r="A82" s="1087" t="s">
        <v>521</v>
      </c>
      <c r="B82" s="1760">
        <v>191244194</v>
      </c>
      <c r="C82" s="1761"/>
      <c r="D82" s="1761"/>
      <c r="E82" s="1761"/>
      <c r="F82" s="1763"/>
      <c r="G82" s="1760">
        <v>201557916.41</v>
      </c>
      <c r="H82" s="1761"/>
      <c r="I82" s="1761"/>
      <c r="J82" s="1762"/>
      <c r="L82" s="1784"/>
      <c r="M82" s="1784"/>
      <c r="N82" s="1784"/>
      <c r="O82" s="1784"/>
    </row>
    <row r="83" spans="1:10" s="250" customFormat="1" ht="13.5" customHeight="1">
      <c r="A83" s="350"/>
      <c r="B83" s="351"/>
      <c r="C83" s="351"/>
      <c r="D83" s="351"/>
      <c r="E83" s="351"/>
      <c r="F83" s="351"/>
      <c r="G83" s="351"/>
      <c r="H83" s="351"/>
      <c r="I83" s="351"/>
      <c r="J83" s="1094"/>
    </row>
    <row r="84" spans="1:10" s="250" customFormat="1" ht="15">
      <c r="A84" s="1727" t="s">
        <v>523</v>
      </c>
      <c r="B84" s="1728"/>
      <c r="C84" s="1728"/>
      <c r="D84" s="1728"/>
      <c r="E84" s="1728"/>
      <c r="F84" s="1728"/>
      <c r="G84" s="1728"/>
      <c r="H84" s="1728"/>
      <c r="I84" s="1728"/>
      <c r="J84" s="1729"/>
    </row>
    <row r="85" spans="1:10" s="250" customFormat="1" ht="12.75" customHeight="1">
      <c r="A85" s="1695" t="s">
        <v>150</v>
      </c>
      <c r="B85" s="1751" t="s">
        <v>144</v>
      </c>
      <c r="C85" s="1751" t="s">
        <v>145</v>
      </c>
      <c r="D85" s="1736" t="s">
        <v>146</v>
      </c>
      <c r="E85" s="1736"/>
      <c r="F85" s="1736"/>
      <c r="G85" s="1736"/>
      <c r="H85" s="1736"/>
      <c r="I85" s="1736"/>
      <c r="J85" s="1783"/>
    </row>
    <row r="86" spans="1:10" s="345" customFormat="1" ht="16.5" customHeight="1">
      <c r="A86" s="1696"/>
      <c r="B86" s="1738"/>
      <c r="C86" s="1738"/>
      <c r="D86" s="1738" t="s">
        <v>745</v>
      </c>
      <c r="E86" s="1738"/>
      <c r="F86" s="1738"/>
      <c r="G86" s="1738"/>
      <c r="H86" s="1754" t="s">
        <v>725</v>
      </c>
      <c r="I86" s="1755"/>
      <c r="J86" s="1756"/>
    </row>
    <row r="87" spans="1:10" s="250" customFormat="1" ht="19.5" customHeight="1">
      <c r="A87" s="1071" t="s">
        <v>759</v>
      </c>
      <c r="B87" s="355">
        <f>B88+B97+B106+B111</f>
        <v>134039985</v>
      </c>
      <c r="C87" s="355">
        <f>C88+C97+C106+C111</f>
        <v>122852893</v>
      </c>
      <c r="D87" s="1720">
        <f>D88+D97+D106+D111</f>
        <v>100937665.54</v>
      </c>
      <c r="E87" s="1720"/>
      <c r="F87" s="1720"/>
      <c r="G87" s="1720"/>
      <c r="H87" s="1742">
        <f>H88+H97+H106+H111</f>
        <v>100895788.41</v>
      </c>
      <c r="I87" s="1743"/>
      <c r="J87" s="1744"/>
    </row>
    <row r="88" spans="1:10" s="345" customFormat="1" ht="19.5" customHeight="1">
      <c r="A88" s="1071" t="s">
        <v>501</v>
      </c>
      <c r="B88" s="344">
        <f>B89+B93</f>
        <v>59349924</v>
      </c>
      <c r="C88" s="344">
        <f>C89+C93</f>
        <v>59349924</v>
      </c>
      <c r="D88" s="1701">
        <f>D89+D93</f>
        <v>45208628.120000005</v>
      </c>
      <c r="E88" s="1701"/>
      <c r="F88" s="1701"/>
      <c r="G88" s="1701"/>
      <c r="H88" s="1703">
        <f>H89+H93</f>
        <v>45810537.68</v>
      </c>
      <c r="I88" s="1704"/>
      <c r="J88" s="1713"/>
    </row>
    <row r="89" spans="1:10" s="250" customFormat="1" ht="16.5" customHeight="1">
      <c r="A89" s="1072" t="s">
        <v>502</v>
      </c>
      <c r="B89" s="344">
        <f>B90+B91+B92</f>
        <v>59349924</v>
      </c>
      <c r="C89" s="344">
        <f>C90+C91+C92</f>
        <v>59349924</v>
      </c>
      <c r="D89" s="1701">
        <f>D90+D91+D92</f>
        <v>45208628.120000005</v>
      </c>
      <c r="E89" s="1701"/>
      <c r="F89" s="1701"/>
      <c r="G89" s="1701"/>
      <c r="H89" s="1703">
        <f>H90+H91+H92</f>
        <v>45810537.68</v>
      </c>
      <c r="I89" s="1704"/>
      <c r="J89" s="1713"/>
    </row>
    <row r="90" spans="1:10" s="250" customFormat="1" ht="17.25" customHeight="1">
      <c r="A90" s="1073" t="s">
        <v>504</v>
      </c>
      <c r="B90" s="357">
        <v>56009491</v>
      </c>
      <c r="C90" s="357">
        <f>B90</f>
        <v>56009491</v>
      </c>
      <c r="D90" s="1721">
        <v>41987972.59</v>
      </c>
      <c r="E90" s="1721"/>
      <c r="F90" s="1721"/>
      <c r="G90" s="1721"/>
      <c r="H90" s="1710">
        <v>41894928.2</v>
      </c>
      <c r="I90" s="1711"/>
      <c r="J90" s="1712"/>
    </row>
    <row r="91" spans="1:10" s="250" customFormat="1" ht="18.75" customHeight="1">
      <c r="A91" s="1073" t="s">
        <v>505</v>
      </c>
      <c r="B91" s="357">
        <v>2515144</v>
      </c>
      <c r="C91" s="357">
        <f>B91</f>
        <v>2515144</v>
      </c>
      <c r="D91" s="1721">
        <v>2424214.28</v>
      </c>
      <c r="E91" s="1721"/>
      <c r="F91" s="1721"/>
      <c r="G91" s="1721"/>
      <c r="H91" s="1710">
        <v>3019523.94</v>
      </c>
      <c r="I91" s="1711"/>
      <c r="J91" s="1712"/>
    </row>
    <row r="92" spans="1:10" s="345" customFormat="1" ht="17.25" customHeight="1">
      <c r="A92" s="1073" t="s">
        <v>506</v>
      </c>
      <c r="B92" s="357">
        <v>825289</v>
      </c>
      <c r="C92" s="357">
        <f>B92</f>
        <v>825289</v>
      </c>
      <c r="D92" s="1721">
        <v>796441.25</v>
      </c>
      <c r="E92" s="1721"/>
      <c r="F92" s="1721"/>
      <c r="G92" s="1721"/>
      <c r="H92" s="1710">
        <v>896085.54</v>
      </c>
      <c r="I92" s="1711"/>
      <c r="J92" s="1712"/>
    </row>
    <row r="93" spans="1:10" s="250" customFormat="1" ht="19.5" customHeight="1">
      <c r="A93" s="1072" t="s">
        <v>503</v>
      </c>
      <c r="B93" s="344">
        <f>B94+B95+B96</f>
        <v>0</v>
      </c>
      <c r="C93" s="344">
        <f>C94+C95+C96</f>
        <v>0</v>
      </c>
      <c r="D93" s="1701"/>
      <c r="E93" s="1701"/>
      <c r="F93" s="1701"/>
      <c r="G93" s="1701"/>
      <c r="H93" s="1703"/>
      <c r="I93" s="1704"/>
      <c r="J93" s="1713"/>
    </row>
    <row r="94" spans="1:10" s="250" customFormat="1" ht="17.25" customHeight="1">
      <c r="A94" s="1073" t="s">
        <v>504</v>
      </c>
      <c r="B94" s="357"/>
      <c r="C94" s="357"/>
      <c r="D94" s="1692"/>
      <c r="E94" s="1693"/>
      <c r="F94" s="1693"/>
      <c r="G94" s="1694"/>
      <c r="H94" s="1698">
        <v>0</v>
      </c>
      <c r="I94" s="1698"/>
      <c r="J94" s="1699"/>
    </row>
    <row r="95" spans="1:10" s="250" customFormat="1" ht="19.5" customHeight="1">
      <c r="A95" s="1073" t="s">
        <v>505</v>
      </c>
      <c r="B95" s="357"/>
      <c r="C95" s="357"/>
      <c r="D95" s="1692"/>
      <c r="E95" s="1693"/>
      <c r="F95" s="1693"/>
      <c r="G95" s="1694"/>
      <c r="H95" s="1698">
        <v>0</v>
      </c>
      <c r="I95" s="1698"/>
      <c r="J95" s="1699"/>
    </row>
    <row r="96" spans="1:10" s="250" customFormat="1" ht="19.5" customHeight="1">
      <c r="A96" s="1073" t="s">
        <v>506</v>
      </c>
      <c r="B96" s="357"/>
      <c r="C96" s="357"/>
      <c r="D96" s="1692"/>
      <c r="E96" s="1693"/>
      <c r="F96" s="1693"/>
      <c r="G96" s="1694"/>
      <c r="H96" s="1698">
        <v>0</v>
      </c>
      <c r="I96" s="1698"/>
      <c r="J96" s="1699"/>
    </row>
    <row r="97" spans="1:10" s="345" customFormat="1" ht="19.5" customHeight="1">
      <c r="A97" s="991" t="s">
        <v>507</v>
      </c>
      <c r="B97" s="344">
        <f>B98+B102</f>
        <v>63502969</v>
      </c>
      <c r="C97" s="344">
        <f>C98+C102</f>
        <v>63502969</v>
      </c>
      <c r="D97" s="1703">
        <f>D98+D102</f>
        <v>55729037.42</v>
      </c>
      <c r="E97" s="1704"/>
      <c r="F97" s="1704"/>
      <c r="G97" s="1705"/>
      <c r="H97" s="1701">
        <f>H98+H102</f>
        <v>54914237.05</v>
      </c>
      <c r="I97" s="1701"/>
      <c r="J97" s="1702"/>
    </row>
    <row r="98" spans="1:10" s="345" customFormat="1" ht="19.5" customHeight="1">
      <c r="A98" s="1072" t="s">
        <v>502</v>
      </c>
      <c r="B98" s="344">
        <f>B99+B100+B101</f>
        <v>63502969</v>
      </c>
      <c r="C98" s="344">
        <f>C99+C100+C101</f>
        <v>63502969</v>
      </c>
      <c r="D98" s="1703">
        <f>D99+D100+D101</f>
        <v>55729037.42</v>
      </c>
      <c r="E98" s="1704"/>
      <c r="F98" s="1704"/>
      <c r="G98" s="1705"/>
      <c r="H98" s="1701">
        <f>H99+H100+H101</f>
        <v>54914237.05</v>
      </c>
      <c r="I98" s="1701"/>
      <c r="J98" s="1702"/>
    </row>
    <row r="99" spans="1:10" s="250" customFormat="1" ht="19.5" customHeight="1">
      <c r="A99" s="1073" t="s">
        <v>504</v>
      </c>
      <c r="B99" s="357">
        <v>63502969</v>
      </c>
      <c r="C99" s="357">
        <f>B99</f>
        <v>63502969</v>
      </c>
      <c r="D99" s="1692">
        <v>55729037.42</v>
      </c>
      <c r="E99" s="1693"/>
      <c r="F99" s="1693"/>
      <c r="G99" s="1694"/>
      <c r="H99" s="1698">
        <v>54914237.05</v>
      </c>
      <c r="I99" s="1698"/>
      <c r="J99" s="1699"/>
    </row>
    <row r="100" spans="1:10" s="250" customFormat="1" ht="19.5" customHeight="1">
      <c r="A100" s="1073" t="s">
        <v>505</v>
      </c>
      <c r="B100" s="357"/>
      <c r="C100" s="357"/>
      <c r="D100" s="1692"/>
      <c r="E100" s="1693"/>
      <c r="F100" s="1693"/>
      <c r="G100" s="1694"/>
      <c r="H100" s="1698">
        <v>0</v>
      </c>
      <c r="I100" s="1698"/>
      <c r="J100" s="1699"/>
    </row>
    <row r="101" spans="1:10" s="345" customFormat="1" ht="19.5" customHeight="1">
      <c r="A101" s="1073" t="s">
        <v>506</v>
      </c>
      <c r="B101" s="357"/>
      <c r="C101" s="357"/>
      <c r="D101" s="1692"/>
      <c r="E101" s="1693"/>
      <c r="F101" s="1693"/>
      <c r="G101" s="1694"/>
      <c r="H101" s="1698">
        <v>0</v>
      </c>
      <c r="I101" s="1698"/>
      <c r="J101" s="1699"/>
    </row>
    <row r="102" spans="1:10" s="345" customFormat="1" ht="19.5" customHeight="1">
      <c r="A102" s="1072" t="s">
        <v>503</v>
      </c>
      <c r="B102" s="344">
        <f>B103+B104+B105</f>
        <v>0</v>
      </c>
      <c r="C102" s="344">
        <f>C103+C104+C105</f>
        <v>0</v>
      </c>
      <c r="D102" s="1703">
        <f>D103+D104+D105</f>
        <v>0</v>
      </c>
      <c r="E102" s="1704"/>
      <c r="F102" s="1704"/>
      <c r="G102" s="1705"/>
      <c r="H102" s="1701">
        <f>H103+H104+H105</f>
        <v>0</v>
      </c>
      <c r="I102" s="1701"/>
      <c r="J102" s="1702"/>
    </row>
    <row r="103" spans="1:10" s="250" customFormat="1" ht="19.5" customHeight="1">
      <c r="A103" s="1073" t="s">
        <v>504</v>
      </c>
      <c r="B103" s="357"/>
      <c r="C103" s="357"/>
      <c r="D103" s="1692"/>
      <c r="E103" s="1693"/>
      <c r="F103" s="1693"/>
      <c r="G103" s="1694"/>
      <c r="H103" s="1698">
        <v>0</v>
      </c>
      <c r="I103" s="1698"/>
      <c r="J103" s="1699"/>
    </row>
    <row r="104" spans="1:10" s="250" customFormat="1" ht="19.5" customHeight="1">
      <c r="A104" s="1073" t="s">
        <v>505</v>
      </c>
      <c r="B104" s="357"/>
      <c r="C104" s="357"/>
      <c r="D104" s="1692"/>
      <c r="E104" s="1693"/>
      <c r="F104" s="1693"/>
      <c r="G104" s="1694"/>
      <c r="H104" s="1698">
        <v>0</v>
      </c>
      <c r="I104" s="1698"/>
      <c r="J104" s="1699"/>
    </row>
    <row r="105" spans="1:10" s="250" customFormat="1" ht="19.5" customHeight="1">
      <c r="A105" s="1073" t="s">
        <v>506</v>
      </c>
      <c r="B105" s="357"/>
      <c r="C105" s="357"/>
      <c r="D105" s="1692"/>
      <c r="E105" s="1693"/>
      <c r="F105" s="1693"/>
      <c r="G105" s="1694"/>
      <c r="H105" s="1698">
        <v>0</v>
      </c>
      <c r="I105" s="1698"/>
      <c r="J105" s="1699"/>
    </row>
    <row r="106" spans="1:10" s="345" customFormat="1" ht="19.5" customHeight="1">
      <c r="A106" s="1071" t="s">
        <v>139</v>
      </c>
      <c r="B106" s="344">
        <f>B107+B108+B109</f>
        <v>11187092</v>
      </c>
      <c r="C106" s="344">
        <f>C107+C108+C109</f>
        <v>0</v>
      </c>
      <c r="D106" s="1720">
        <f>D107+D108+D109</f>
        <v>0</v>
      </c>
      <c r="E106" s="1720"/>
      <c r="F106" s="1720"/>
      <c r="G106" s="1720"/>
      <c r="H106" s="1742">
        <f>H107+H108+H109</f>
        <v>171013.68</v>
      </c>
      <c r="I106" s="1743"/>
      <c r="J106" s="1744"/>
    </row>
    <row r="107" spans="1:10" s="250" customFormat="1" ht="19.5" customHeight="1">
      <c r="A107" s="1074" t="s">
        <v>12</v>
      </c>
      <c r="B107" s="357"/>
      <c r="C107" s="357"/>
      <c r="D107" s="1692"/>
      <c r="E107" s="1693"/>
      <c r="F107" s="1693"/>
      <c r="G107" s="1694"/>
      <c r="H107" s="1698"/>
      <c r="I107" s="1698"/>
      <c r="J107" s="1699"/>
    </row>
    <row r="108" spans="1:10" s="250" customFormat="1" ht="19.5" customHeight="1">
      <c r="A108" s="1074" t="s">
        <v>13</v>
      </c>
      <c r="B108" s="357">
        <v>0</v>
      </c>
      <c r="C108" s="357">
        <v>0</v>
      </c>
      <c r="D108" s="1721"/>
      <c r="E108" s="1721"/>
      <c r="F108" s="1721"/>
      <c r="G108" s="1721"/>
      <c r="H108" s="1717"/>
      <c r="I108" s="1718"/>
      <c r="J108" s="1719"/>
    </row>
    <row r="109" spans="1:10" s="250" customFormat="1" ht="19.5" customHeight="1">
      <c r="A109" s="1074" t="s">
        <v>14</v>
      </c>
      <c r="B109" s="357">
        <v>11187092</v>
      </c>
      <c r="C109" s="357">
        <v>0</v>
      </c>
      <c r="D109" s="1692"/>
      <c r="E109" s="1693"/>
      <c r="F109" s="1693"/>
      <c r="G109" s="1694"/>
      <c r="H109" s="1717">
        <v>171013.68</v>
      </c>
      <c r="I109" s="1718"/>
      <c r="J109" s="1719"/>
    </row>
    <row r="110" spans="1:10" s="250" customFormat="1" ht="19.5" customHeight="1">
      <c r="A110" s="1071" t="s">
        <v>16</v>
      </c>
      <c r="B110" s="357"/>
      <c r="C110" s="357"/>
      <c r="D110" s="1692"/>
      <c r="E110" s="1693"/>
      <c r="F110" s="1693"/>
      <c r="G110" s="1694"/>
      <c r="H110" s="1698">
        <v>0</v>
      </c>
      <c r="I110" s="1698"/>
      <c r="J110" s="1699"/>
    </row>
    <row r="111" spans="1:10" s="250" customFormat="1" ht="19.5" customHeight="1">
      <c r="A111" s="1071" t="s">
        <v>141</v>
      </c>
      <c r="B111" s="344">
        <f>B112+B113</f>
        <v>0</v>
      </c>
      <c r="C111" s="344">
        <f>C112+C113</f>
        <v>0</v>
      </c>
      <c r="D111" s="1720">
        <f>D112+D113</f>
        <v>0</v>
      </c>
      <c r="E111" s="1720"/>
      <c r="F111" s="1720"/>
      <c r="G111" s="1720"/>
      <c r="H111" s="1742">
        <f>H112+H113</f>
        <v>0</v>
      </c>
      <c r="I111" s="1743"/>
      <c r="J111" s="1744"/>
    </row>
    <row r="112" spans="1:10" s="250" customFormat="1" ht="19.5" customHeight="1">
      <c r="A112" s="1074" t="s">
        <v>509</v>
      </c>
      <c r="B112" s="357">
        <v>0</v>
      </c>
      <c r="C112" s="357">
        <v>0</v>
      </c>
      <c r="D112" s="1721"/>
      <c r="E112" s="1721"/>
      <c r="F112" s="1721"/>
      <c r="G112" s="1721"/>
      <c r="H112" s="1717"/>
      <c r="I112" s="1718"/>
      <c r="J112" s="1719"/>
    </row>
    <row r="113" spans="1:10" s="250" customFormat="1" ht="19.5" customHeight="1">
      <c r="A113" s="1075" t="s">
        <v>508</v>
      </c>
      <c r="B113" s="357"/>
      <c r="C113" s="357"/>
      <c r="D113" s="1721"/>
      <c r="E113" s="1721"/>
      <c r="F113" s="1721"/>
      <c r="G113" s="1721"/>
      <c r="H113" s="1717"/>
      <c r="I113" s="1718"/>
      <c r="J113" s="1719"/>
    </row>
    <row r="114" spans="1:10" s="250" customFormat="1" ht="19.5" customHeight="1">
      <c r="A114" s="991" t="s">
        <v>760</v>
      </c>
      <c r="B114" s="344">
        <f>B115+B116+B117</f>
        <v>0</v>
      </c>
      <c r="C114" s="344">
        <f>C115+C116+C117</f>
        <v>0</v>
      </c>
      <c r="D114" s="1701">
        <f>D115+D116+D117</f>
        <v>0</v>
      </c>
      <c r="E114" s="1701"/>
      <c r="F114" s="1701"/>
      <c r="G114" s="1701"/>
      <c r="H114" s="1698">
        <f>H115+H116+H117</f>
        <v>0</v>
      </c>
      <c r="I114" s="1698"/>
      <c r="J114" s="1699"/>
    </row>
    <row r="115" spans="1:10" s="250" customFormat="1" ht="19.5" customHeight="1">
      <c r="A115" s="1075" t="s">
        <v>147</v>
      </c>
      <c r="B115" s="357"/>
      <c r="C115" s="357"/>
      <c r="D115" s="1692"/>
      <c r="E115" s="1693"/>
      <c r="F115" s="1693"/>
      <c r="G115" s="1694"/>
      <c r="H115" s="1698"/>
      <c r="I115" s="1698"/>
      <c r="J115" s="1699"/>
    </row>
    <row r="116" spans="1:10" s="250" customFormat="1" ht="19.5" customHeight="1">
      <c r="A116" s="1075" t="s">
        <v>148</v>
      </c>
      <c r="B116" s="357"/>
      <c r="C116" s="357"/>
      <c r="D116" s="1692"/>
      <c r="E116" s="1693"/>
      <c r="F116" s="1693"/>
      <c r="G116" s="1694"/>
      <c r="H116" s="1698"/>
      <c r="I116" s="1698"/>
      <c r="J116" s="1699"/>
    </row>
    <row r="117" spans="1:10" s="250" customFormat="1" ht="19.5" customHeight="1">
      <c r="A117" s="1075" t="s">
        <v>149</v>
      </c>
      <c r="B117" s="357"/>
      <c r="C117" s="357"/>
      <c r="D117" s="1692"/>
      <c r="E117" s="1693"/>
      <c r="F117" s="1693"/>
      <c r="G117" s="1694"/>
      <c r="H117" s="1698"/>
      <c r="I117" s="1698"/>
      <c r="J117" s="1699"/>
    </row>
    <row r="118" spans="1:10" s="250" customFormat="1" ht="19.5" customHeight="1">
      <c r="A118" s="1076" t="s">
        <v>761</v>
      </c>
      <c r="B118" s="344">
        <f>B87+B114</f>
        <v>134039985</v>
      </c>
      <c r="C118" s="344">
        <f>C87+C114</f>
        <v>122852893</v>
      </c>
      <c r="D118" s="1701">
        <f>D87+D114</f>
        <v>100937665.54</v>
      </c>
      <c r="E118" s="1701"/>
      <c r="F118" s="1701"/>
      <c r="G118" s="1701"/>
      <c r="H118" s="1703">
        <f>H87+H114</f>
        <v>100895788.41</v>
      </c>
      <c r="I118" s="1704"/>
      <c r="J118" s="1713"/>
    </row>
    <row r="119" spans="1:10" s="250" customFormat="1" ht="19.5" customHeight="1">
      <c r="A119" s="360"/>
      <c r="B119" s="344"/>
      <c r="C119" s="368"/>
      <c r="D119" s="913"/>
      <c r="E119" s="913"/>
      <c r="F119" s="913"/>
      <c r="G119" s="914"/>
      <c r="H119" s="915"/>
      <c r="I119" s="913"/>
      <c r="J119" s="913"/>
    </row>
    <row r="120" spans="1:10" s="250" customFormat="1" ht="19.5" customHeight="1">
      <c r="A120" s="1730" t="s">
        <v>510</v>
      </c>
      <c r="B120" s="1731" t="s">
        <v>151</v>
      </c>
      <c r="C120" s="1731" t="s">
        <v>152</v>
      </c>
      <c r="D120" s="1733" t="s">
        <v>324</v>
      </c>
      <c r="E120" s="1734"/>
      <c r="F120" s="1735"/>
      <c r="G120" s="1723" t="s">
        <v>385</v>
      </c>
      <c r="H120" s="1724"/>
      <c r="I120" s="1723" t="s">
        <v>153</v>
      </c>
      <c r="J120" s="1724"/>
    </row>
    <row r="121" spans="1:10" s="250" customFormat="1" ht="19.5" customHeight="1">
      <c r="A121" s="1730"/>
      <c r="B121" s="1731"/>
      <c r="C121" s="1731"/>
      <c r="D121" s="1736"/>
      <c r="E121" s="1737"/>
      <c r="F121" s="1726"/>
      <c r="G121" s="1725"/>
      <c r="H121" s="1726"/>
      <c r="I121" s="1725"/>
      <c r="J121" s="1726"/>
    </row>
    <row r="122" spans="1:10" s="250" customFormat="1" ht="28.5" customHeight="1">
      <c r="A122" s="1730"/>
      <c r="B122" s="1731"/>
      <c r="C122" s="1731"/>
      <c r="D122" s="1738" t="s">
        <v>65</v>
      </c>
      <c r="E122" s="1738"/>
      <c r="F122" s="900" t="s">
        <v>725</v>
      </c>
      <c r="G122" s="901" t="s">
        <v>65</v>
      </c>
      <c r="H122" s="900" t="s">
        <v>725</v>
      </c>
      <c r="I122" s="902" t="s">
        <v>386</v>
      </c>
      <c r="J122" s="1088" t="s">
        <v>388</v>
      </c>
    </row>
    <row r="123" spans="1:10" s="250" customFormat="1" ht="19.5" customHeight="1">
      <c r="A123" s="1078" t="s">
        <v>511</v>
      </c>
      <c r="B123" s="344">
        <f>B124+B125+B126</f>
        <v>319850763</v>
      </c>
      <c r="C123" s="344">
        <f>C124+C125+C126</f>
        <v>323150763</v>
      </c>
      <c r="D123" s="1732">
        <f>D124+D125+D126</f>
        <v>312045997.33</v>
      </c>
      <c r="E123" s="1732"/>
      <c r="F123" s="362">
        <f>F124+F125+F126</f>
        <v>297591157.3</v>
      </c>
      <c r="G123" s="363">
        <f>G124+G125+G126</f>
        <v>312045997.33</v>
      </c>
      <c r="H123" s="362">
        <f>H124+H125+H126</f>
        <v>297591157.3</v>
      </c>
      <c r="I123" s="363">
        <f>I124+I125+I126</f>
        <v>0</v>
      </c>
      <c r="J123" s="1089">
        <f>J124+J125+J126</f>
        <v>0</v>
      </c>
    </row>
    <row r="124" spans="1:10" s="250" customFormat="1" ht="19.5" customHeight="1">
      <c r="A124" s="1079" t="s">
        <v>154</v>
      </c>
      <c r="B124" s="357">
        <v>270943305</v>
      </c>
      <c r="C124" s="357">
        <f>B124</f>
        <v>270943305</v>
      </c>
      <c r="D124" s="1758">
        <v>259904450.93</v>
      </c>
      <c r="E124" s="1758"/>
      <c r="F124" s="364">
        <v>249955171.29</v>
      </c>
      <c r="G124" s="365">
        <v>259904450.93</v>
      </c>
      <c r="H124" s="366">
        <v>249955171.29</v>
      </c>
      <c r="I124" s="366">
        <f>D124-G124</f>
        <v>0</v>
      </c>
      <c r="J124" s="1090">
        <f>F124-H124</f>
        <v>0</v>
      </c>
    </row>
    <row r="125" spans="1:10" s="250" customFormat="1" ht="19.5" customHeight="1">
      <c r="A125" s="1079" t="s">
        <v>155</v>
      </c>
      <c r="B125" s="357">
        <v>48907458</v>
      </c>
      <c r="C125" s="357">
        <v>52207458</v>
      </c>
      <c r="D125" s="1758">
        <v>52141546.4</v>
      </c>
      <c r="E125" s="1758"/>
      <c r="F125" s="364">
        <v>47635986.01</v>
      </c>
      <c r="G125" s="365">
        <v>52141546.4</v>
      </c>
      <c r="H125" s="366">
        <v>47635986.01</v>
      </c>
      <c r="I125" s="366">
        <f>D125-G125</f>
        <v>0</v>
      </c>
      <c r="J125" s="1090">
        <f>F125-H125</f>
        <v>0</v>
      </c>
    </row>
    <row r="126" spans="1:10" s="250" customFormat="1" ht="19.5" customHeight="1">
      <c r="A126" s="1079" t="s">
        <v>156</v>
      </c>
      <c r="B126" s="357">
        <v>0</v>
      </c>
      <c r="C126" s="357">
        <f>B126</f>
        <v>0</v>
      </c>
      <c r="D126" s="1717">
        <v>0</v>
      </c>
      <c r="E126" s="1759"/>
      <c r="F126" s="364">
        <v>0</v>
      </c>
      <c r="G126" s="365">
        <v>0</v>
      </c>
      <c r="H126" s="366">
        <v>0</v>
      </c>
      <c r="I126" s="366">
        <v>0</v>
      </c>
      <c r="J126" s="1090">
        <v>0</v>
      </c>
    </row>
    <row r="127" spans="1:10" s="250" customFormat="1" ht="19.5" customHeight="1">
      <c r="A127" s="1078" t="s">
        <v>512</v>
      </c>
      <c r="B127" s="363">
        <f>B128+B129+B130</f>
        <v>0</v>
      </c>
      <c r="C127" s="363">
        <f>C128+C129+C130</f>
        <v>0</v>
      </c>
      <c r="D127" s="1717">
        <f>D128+D129+D130</f>
        <v>0</v>
      </c>
      <c r="E127" s="1759"/>
      <c r="F127" s="363">
        <f>F128+F129+F130</f>
        <v>0</v>
      </c>
      <c r="G127" s="363">
        <v>0</v>
      </c>
      <c r="H127" s="363">
        <f>H128+H129+H130</f>
        <v>0</v>
      </c>
      <c r="I127" s="363">
        <f>I128+I129+I130</f>
        <v>0</v>
      </c>
      <c r="J127" s="1089">
        <v>0</v>
      </c>
    </row>
    <row r="128" spans="1:10" s="250" customFormat="1" ht="19.5" customHeight="1">
      <c r="A128" s="1079" t="s">
        <v>157</v>
      </c>
      <c r="B128" s="357">
        <v>0</v>
      </c>
      <c r="C128" s="357">
        <f>B128</f>
        <v>0</v>
      </c>
      <c r="D128" s="1717">
        <v>0</v>
      </c>
      <c r="E128" s="1759"/>
      <c r="F128" s="359">
        <v>0</v>
      </c>
      <c r="G128" s="365">
        <v>0</v>
      </c>
      <c r="H128" s="366">
        <v>0</v>
      </c>
      <c r="I128" s="366">
        <v>0</v>
      </c>
      <c r="J128" s="1090">
        <v>0</v>
      </c>
    </row>
    <row r="129" spans="1:10" s="250" customFormat="1" ht="19.5" customHeight="1">
      <c r="A129" s="1079" t="s">
        <v>155</v>
      </c>
      <c r="B129" s="357">
        <v>0</v>
      </c>
      <c r="C129" s="357">
        <v>0</v>
      </c>
      <c r="D129" s="1717">
        <v>0</v>
      </c>
      <c r="E129" s="1759"/>
      <c r="F129" s="359">
        <v>0</v>
      </c>
      <c r="G129" s="365">
        <v>0</v>
      </c>
      <c r="H129" s="366">
        <v>0</v>
      </c>
      <c r="I129" s="366">
        <v>0</v>
      </c>
      <c r="J129" s="1090">
        <v>0</v>
      </c>
    </row>
    <row r="130" spans="1:10" s="250" customFormat="1" ht="19.5" customHeight="1">
      <c r="A130" s="1079" t="s">
        <v>156</v>
      </c>
      <c r="B130" s="367">
        <v>0</v>
      </c>
      <c r="C130" s="367">
        <f>B130</f>
        <v>0</v>
      </c>
      <c r="D130" s="1714">
        <v>0</v>
      </c>
      <c r="E130" s="1715"/>
      <c r="F130" s="367">
        <v>0</v>
      </c>
      <c r="G130" s="367">
        <v>0</v>
      </c>
      <c r="H130" s="363">
        <v>0</v>
      </c>
      <c r="I130" s="363">
        <v>0</v>
      </c>
      <c r="J130" s="1089">
        <v>0</v>
      </c>
    </row>
    <row r="131" spans="1:10" s="250" customFormat="1" ht="19.5" customHeight="1">
      <c r="A131" s="1080" t="s">
        <v>513</v>
      </c>
      <c r="B131" s="367">
        <f>B132+B133</f>
        <v>0</v>
      </c>
      <c r="C131" s="367">
        <f>C132+C133</f>
        <v>0</v>
      </c>
      <c r="D131" s="1714">
        <f>D132+D133</f>
        <v>0</v>
      </c>
      <c r="E131" s="1715"/>
      <c r="F131" s="367">
        <f>F132+F133</f>
        <v>0</v>
      </c>
      <c r="G131" s="367">
        <v>0</v>
      </c>
      <c r="H131" s="362">
        <f>H132+H133</f>
        <v>0</v>
      </c>
      <c r="I131" s="363">
        <v>0</v>
      </c>
      <c r="J131" s="1089">
        <v>0</v>
      </c>
    </row>
    <row r="132" spans="1:10" s="250" customFormat="1" ht="19.5" customHeight="1">
      <c r="A132" s="1081" t="s">
        <v>514</v>
      </c>
      <c r="B132" s="357">
        <v>0</v>
      </c>
      <c r="C132" s="357">
        <v>0</v>
      </c>
      <c r="D132" s="1717">
        <v>0</v>
      </c>
      <c r="E132" s="1759"/>
      <c r="F132" s="359">
        <v>0</v>
      </c>
      <c r="G132" s="365">
        <v>0</v>
      </c>
      <c r="H132" s="366">
        <v>0</v>
      </c>
      <c r="I132" s="366">
        <v>0</v>
      </c>
      <c r="J132" s="1090">
        <v>0</v>
      </c>
    </row>
    <row r="133" spans="1:10" s="250" customFormat="1" ht="19.5" customHeight="1">
      <c r="A133" s="1077" t="s">
        <v>515</v>
      </c>
      <c r="B133" s="357">
        <v>0</v>
      </c>
      <c r="C133" s="357">
        <v>0</v>
      </c>
      <c r="D133" s="1717">
        <v>0</v>
      </c>
      <c r="E133" s="1759"/>
      <c r="F133" s="359">
        <v>0</v>
      </c>
      <c r="G133" s="365">
        <v>0</v>
      </c>
      <c r="H133" s="366">
        <v>0</v>
      </c>
      <c r="I133" s="366">
        <v>0</v>
      </c>
      <c r="J133" s="1090">
        <v>0</v>
      </c>
    </row>
    <row r="134" spans="1:10" s="250" customFormat="1" ht="19.5" customHeight="1">
      <c r="A134" s="1082" t="s">
        <v>763</v>
      </c>
      <c r="B134" s="344">
        <f>B123+B127+B131</f>
        <v>319850763</v>
      </c>
      <c r="C134" s="344">
        <f aca="true" t="shared" si="1" ref="C134:J134">C123+C127+C131</f>
        <v>323150763</v>
      </c>
      <c r="D134" s="1764">
        <f t="shared" si="1"/>
        <v>312045997.33</v>
      </c>
      <c r="E134" s="1765"/>
      <c r="F134" s="344">
        <f t="shared" si="1"/>
        <v>297591157.3</v>
      </c>
      <c r="G134" s="344">
        <f t="shared" si="1"/>
        <v>312045997.33</v>
      </c>
      <c r="H134" s="344">
        <f t="shared" si="1"/>
        <v>297591157.3</v>
      </c>
      <c r="I134" s="344">
        <f t="shared" si="1"/>
        <v>0</v>
      </c>
      <c r="J134" s="344">
        <f t="shared" si="1"/>
        <v>0</v>
      </c>
    </row>
    <row r="135" spans="1:10" s="250" customFormat="1" ht="19.5" customHeight="1">
      <c r="A135" s="1082"/>
      <c r="B135" s="344"/>
      <c r="C135" s="344"/>
      <c r="D135" s="895"/>
      <c r="E135" s="896"/>
      <c r="F135" s="368"/>
      <c r="G135" s="368"/>
      <c r="H135" s="368"/>
      <c r="I135" s="368"/>
      <c r="J135" s="1091"/>
    </row>
    <row r="136" spans="1:10" s="250" customFormat="1" ht="19.5" customHeight="1">
      <c r="A136" s="1083" t="s">
        <v>762</v>
      </c>
      <c r="B136" s="903">
        <f>B118-B134</f>
        <v>-185810778</v>
      </c>
      <c r="C136" s="903">
        <f>C118-C134</f>
        <v>-200297870</v>
      </c>
      <c r="D136" s="1766">
        <f>D118-D134</f>
        <v>-211108331.78999996</v>
      </c>
      <c r="E136" s="1767"/>
      <c r="F136" s="904">
        <f>H118-F134</f>
        <v>-196695368.89000002</v>
      </c>
      <c r="G136" s="904">
        <f>D118-G134</f>
        <v>-211108331.78999996</v>
      </c>
      <c r="H136" s="904">
        <f>H118-H134</f>
        <v>-196695368.89000002</v>
      </c>
      <c r="I136" s="904">
        <f>I118-I134</f>
        <v>0</v>
      </c>
      <c r="J136" s="1092"/>
    </row>
    <row r="137" spans="1:10" s="250" customFormat="1" ht="19.5" customHeight="1">
      <c r="A137" s="905"/>
      <c r="B137" s="906"/>
      <c r="C137" s="907"/>
      <c r="D137" s="1757"/>
      <c r="E137" s="1757"/>
      <c r="F137" s="908"/>
      <c r="G137" s="908"/>
      <c r="H137" s="908"/>
      <c r="I137" s="909"/>
      <c r="J137" s="910"/>
    </row>
    <row r="138" spans="1:10" s="250" customFormat="1" ht="25.5">
      <c r="A138" s="1225" t="s">
        <v>524</v>
      </c>
      <c r="B138" s="1785" t="s">
        <v>387</v>
      </c>
      <c r="C138" s="1786"/>
      <c r="D138" s="1786"/>
      <c r="E138" s="1786"/>
      <c r="F138" s="1786"/>
      <c r="G138" s="1786"/>
      <c r="H138" s="1786"/>
      <c r="I138" s="1786"/>
      <c r="J138" s="1787"/>
    </row>
    <row r="139" spans="1:10" s="250" customFormat="1" ht="16.5" customHeight="1">
      <c r="A139" s="1156" t="s">
        <v>525</v>
      </c>
      <c r="B139" s="1687"/>
      <c r="C139" s="1700"/>
      <c r="D139" s="1700"/>
      <c r="E139" s="1700"/>
      <c r="F139" s="1700"/>
      <c r="G139" s="1700"/>
      <c r="H139" s="1700"/>
      <c r="I139" s="1700"/>
      <c r="J139" s="1688"/>
    </row>
    <row r="140" spans="1:10" s="250" customFormat="1" ht="15.75" customHeight="1">
      <c r="A140" s="1157" t="s">
        <v>535</v>
      </c>
      <c r="B140" s="1687"/>
      <c r="C140" s="1700"/>
      <c r="D140" s="1700"/>
      <c r="E140" s="1700"/>
      <c r="F140" s="1700"/>
      <c r="G140" s="1700"/>
      <c r="H140" s="1700"/>
      <c r="I140" s="1700"/>
      <c r="J140" s="1688"/>
    </row>
    <row r="141" spans="1:10" s="250" customFormat="1" ht="8.25" customHeight="1">
      <c r="A141" s="1676"/>
      <c r="B141" s="1677"/>
      <c r="C141" s="1677"/>
      <c r="D141" s="1677"/>
      <c r="E141" s="1677"/>
      <c r="F141" s="1677"/>
      <c r="G141" s="1677"/>
      <c r="H141" s="1677"/>
      <c r="I141" s="1677"/>
      <c r="J141" s="1678"/>
    </row>
    <row r="142" spans="1:10" s="262" customFormat="1" ht="16.5" customHeight="1">
      <c r="A142" s="1668" t="s">
        <v>764</v>
      </c>
      <c r="B142" s="1681" t="s">
        <v>211</v>
      </c>
      <c r="C142" s="1682"/>
      <c r="D142" s="1681" t="s">
        <v>765</v>
      </c>
      <c r="E142" s="1788"/>
      <c r="F142" s="1682"/>
      <c r="G142" s="1672" t="s">
        <v>146</v>
      </c>
      <c r="H142" s="1689"/>
      <c r="I142" s="1689"/>
      <c r="J142" s="1673"/>
    </row>
    <row r="143" spans="1:10" s="250" customFormat="1" ht="17.25" customHeight="1">
      <c r="A143" s="1669"/>
      <c r="B143" s="1683"/>
      <c r="C143" s="1684"/>
      <c r="D143" s="1683"/>
      <c r="E143" s="1789"/>
      <c r="F143" s="1684"/>
      <c r="G143" s="1672" t="s">
        <v>745</v>
      </c>
      <c r="H143" s="1673"/>
      <c r="I143" s="1672" t="s">
        <v>725</v>
      </c>
      <c r="J143" s="1673"/>
    </row>
    <row r="144" spans="1:10" s="250" customFormat="1" ht="14.25">
      <c r="A144" s="1156" t="s">
        <v>766</v>
      </c>
      <c r="B144" s="1679"/>
      <c r="C144" s="1679"/>
      <c r="D144" s="1674"/>
      <c r="E144" s="1680"/>
      <c r="F144" s="1675"/>
      <c r="G144" s="1674"/>
      <c r="H144" s="1675"/>
      <c r="I144" s="1674"/>
      <c r="J144" s="1675"/>
    </row>
    <row r="145" spans="1:10" s="345" customFormat="1" ht="19.5" customHeight="1">
      <c r="A145" s="1226" t="s">
        <v>767</v>
      </c>
      <c r="B145" s="1685">
        <v>0</v>
      </c>
      <c r="C145" s="1686"/>
      <c r="D145" s="1685">
        <f>D144</f>
        <v>0</v>
      </c>
      <c r="E145" s="1697"/>
      <c r="F145" s="1686"/>
      <c r="G145" s="1685">
        <f>G144</f>
        <v>0</v>
      </c>
      <c r="H145" s="1686"/>
      <c r="I145" s="1685">
        <f>I144</f>
        <v>0</v>
      </c>
      <c r="J145" s="1686"/>
    </row>
    <row r="146" spans="1:10" s="250" customFormat="1" ht="7.5" customHeight="1">
      <c r="A146" s="1156"/>
      <c r="B146" s="906"/>
      <c r="C146" s="906"/>
      <c r="D146" s="1674"/>
      <c r="E146" s="1675"/>
      <c r="F146" s="906"/>
      <c r="G146" s="906"/>
      <c r="H146" s="906"/>
      <c r="I146" s="906"/>
      <c r="J146" s="906"/>
    </row>
    <row r="147" spans="1:89" s="250" customFormat="1" ht="25.5" customHeight="1">
      <c r="A147" s="1668" t="s">
        <v>768</v>
      </c>
      <c r="B147" s="1670" t="s">
        <v>228</v>
      </c>
      <c r="C147" s="1690" t="s">
        <v>229</v>
      </c>
      <c r="D147" s="1672" t="s">
        <v>769</v>
      </c>
      <c r="E147" s="1689"/>
      <c r="F147" s="1673"/>
      <c r="G147" s="1672" t="s">
        <v>160</v>
      </c>
      <c r="H147" s="1673"/>
      <c r="I147" s="1672" t="s">
        <v>772</v>
      </c>
      <c r="J147" s="167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  <c r="AA147" s="353"/>
      <c r="AB147" s="353"/>
      <c r="AC147" s="353"/>
      <c r="AD147" s="353"/>
      <c r="AE147" s="353"/>
      <c r="AF147" s="353"/>
      <c r="AG147" s="353"/>
      <c r="AH147" s="353"/>
      <c r="AI147" s="353"/>
      <c r="AJ147" s="353"/>
      <c r="AK147" s="353"/>
      <c r="AL147" s="353"/>
      <c r="AM147" s="353"/>
      <c r="AN147" s="353"/>
      <c r="AO147" s="353"/>
      <c r="AP147" s="353"/>
      <c r="AQ147" s="353"/>
      <c r="AR147" s="353"/>
      <c r="AS147" s="353"/>
      <c r="AT147" s="353"/>
      <c r="AU147" s="353"/>
      <c r="AV147" s="353"/>
      <c r="AW147" s="353"/>
      <c r="AX147" s="353"/>
      <c r="AY147" s="353"/>
      <c r="AZ147" s="353"/>
      <c r="BA147" s="353"/>
      <c r="BB147" s="353"/>
      <c r="BC147" s="353"/>
      <c r="BD147" s="353"/>
      <c r="BE147" s="353"/>
      <c r="BF147" s="353"/>
      <c r="BG147" s="353"/>
      <c r="BH147" s="353"/>
      <c r="BI147" s="353"/>
      <c r="BJ147" s="353"/>
      <c r="BK147" s="353"/>
      <c r="BL147" s="353"/>
      <c r="BM147" s="353"/>
      <c r="BN147" s="353"/>
      <c r="BO147" s="353"/>
      <c r="BP147" s="353"/>
      <c r="BQ147" s="353"/>
      <c r="BR147" s="353"/>
      <c r="BS147" s="353"/>
      <c r="BT147" s="353"/>
      <c r="BU147" s="353"/>
      <c r="BV147" s="353"/>
      <c r="BW147" s="353"/>
      <c r="BX147" s="353"/>
      <c r="BY147" s="353"/>
      <c r="BZ147" s="353"/>
      <c r="CA147" s="353"/>
      <c r="CB147" s="353"/>
      <c r="CC147" s="353"/>
      <c r="CD147" s="353"/>
      <c r="CE147" s="353"/>
      <c r="CF147" s="353"/>
      <c r="CG147" s="353"/>
      <c r="CH147" s="353"/>
      <c r="CI147" s="353"/>
      <c r="CJ147" s="353"/>
      <c r="CK147" s="353"/>
    </row>
    <row r="148" spans="1:90" s="911" customFormat="1" ht="14.25" customHeight="1">
      <c r="A148" s="1669"/>
      <c r="B148" s="1671"/>
      <c r="C148" s="1691"/>
      <c r="D148" s="1672" t="s">
        <v>770</v>
      </c>
      <c r="E148" s="1673"/>
      <c r="F148" s="1231" t="s">
        <v>771</v>
      </c>
      <c r="G148" s="1232" t="s">
        <v>770</v>
      </c>
      <c r="H148" s="1231" t="s">
        <v>771</v>
      </c>
      <c r="I148" s="1232" t="s">
        <v>770</v>
      </c>
      <c r="J148" s="1231" t="s">
        <v>771</v>
      </c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3"/>
      <c r="AC148" s="353"/>
      <c r="AD148" s="353"/>
      <c r="AE148" s="353"/>
      <c r="AF148" s="353"/>
      <c r="AG148" s="353"/>
      <c r="AH148" s="353"/>
      <c r="AI148" s="353"/>
      <c r="AJ148" s="353"/>
      <c r="AK148" s="353"/>
      <c r="AL148" s="353"/>
      <c r="AM148" s="353"/>
      <c r="AN148" s="353"/>
      <c r="AO148" s="353"/>
      <c r="AP148" s="353"/>
      <c r="AQ148" s="353"/>
      <c r="AR148" s="353"/>
      <c r="AS148" s="353"/>
      <c r="AT148" s="353"/>
      <c r="AU148" s="353"/>
      <c r="AV148" s="353"/>
      <c r="AW148" s="353"/>
      <c r="AX148" s="353"/>
      <c r="AY148" s="353"/>
      <c r="AZ148" s="353"/>
      <c r="BA148" s="353"/>
      <c r="BB148" s="353"/>
      <c r="BC148" s="353"/>
      <c r="BD148" s="353"/>
      <c r="BE148" s="353"/>
      <c r="BF148" s="353"/>
      <c r="BG148" s="353"/>
      <c r="BH148" s="353"/>
      <c r="BI148" s="353"/>
      <c r="BJ148" s="353"/>
      <c r="BK148" s="353"/>
      <c r="BL148" s="353"/>
      <c r="BM148" s="353"/>
      <c r="BN148" s="353"/>
      <c r="BO148" s="353"/>
      <c r="BP148" s="353"/>
      <c r="BQ148" s="353"/>
      <c r="BR148" s="353"/>
      <c r="BS148" s="353"/>
      <c r="BT148" s="353"/>
      <c r="BU148" s="353"/>
      <c r="BV148" s="353"/>
      <c r="BW148" s="353"/>
      <c r="BX148" s="353"/>
      <c r="BY148" s="353"/>
      <c r="BZ148" s="353"/>
      <c r="CA148" s="353"/>
      <c r="CB148" s="353"/>
      <c r="CC148" s="353"/>
      <c r="CD148" s="353"/>
      <c r="CE148" s="353"/>
      <c r="CF148" s="353"/>
      <c r="CG148" s="353"/>
      <c r="CH148" s="353"/>
      <c r="CI148" s="353"/>
      <c r="CJ148" s="353"/>
      <c r="CK148" s="353"/>
      <c r="CL148" s="1227"/>
    </row>
    <row r="149" spans="1:10" s="250" customFormat="1" ht="14.25">
      <c r="A149" s="1228" t="s">
        <v>625</v>
      </c>
      <c r="B149" s="1379">
        <v>24584648</v>
      </c>
      <c r="C149" s="1379">
        <v>24534648</v>
      </c>
      <c r="D149" s="1687">
        <v>23929988.53</v>
      </c>
      <c r="E149" s="1688"/>
      <c r="F149" s="1379">
        <v>22706692.21</v>
      </c>
      <c r="G149" s="1379">
        <v>23929988.53</v>
      </c>
      <c r="H149" s="1379">
        <v>22706692.21</v>
      </c>
      <c r="I149" s="1379">
        <f>D149-G149</f>
        <v>0</v>
      </c>
      <c r="J149" s="1379">
        <f>F149-H149</f>
        <v>0</v>
      </c>
    </row>
    <row r="150" spans="1:10" s="250" customFormat="1" ht="14.25">
      <c r="A150" s="1229" t="s">
        <v>773</v>
      </c>
      <c r="B150" s="1275">
        <v>3000000</v>
      </c>
      <c r="C150" s="1275">
        <v>329725.35</v>
      </c>
      <c r="D150" s="1687">
        <v>62348</v>
      </c>
      <c r="E150" s="1688"/>
      <c r="F150" s="1275">
        <v>14757</v>
      </c>
      <c r="G150" s="1275">
        <v>62348</v>
      </c>
      <c r="H150" s="1275">
        <v>14757</v>
      </c>
      <c r="I150" s="1379">
        <f>D150-G150</f>
        <v>0</v>
      </c>
      <c r="J150" s="1379">
        <f>F150-H150</f>
        <v>0</v>
      </c>
    </row>
    <row r="151" spans="1:10" s="250" customFormat="1" ht="19.5" customHeight="1">
      <c r="A151" s="1223" t="s">
        <v>774</v>
      </c>
      <c r="B151" s="1311">
        <f>B149+B150</f>
        <v>27584648</v>
      </c>
      <c r="C151" s="1311">
        <f>C149+C150</f>
        <v>24864373.35</v>
      </c>
      <c r="D151" s="1685">
        <f aca="true" t="shared" si="2" ref="D151:J151">D149+D150</f>
        <v>23992336.53</v>
      </c>
      <c r="E151" s="1686"/>
      <c r="F151" s="1311">
        <f t="shared" si="2"/>
        <v>22721449.21</v>
      </c>
      <c r="G151" s="1311">
        <f t="shared" si="2"/>
        <v>23992336.53</v>
      </c>
      <c r="H151" s="1311">
        <f t="shared" si="2"/>
        <v>22721449.21</v>
      </c>
      <c r="I151" s="1311">
        <f t="shared" si="2"/>
        <v>0</v>
      </c>
      <c r="J151" s="1311">
        <f t="shared" si="2"/>
        <v>0</v>
      </c>
    </row>
    <row r="152" spans="1:10" s="250" customFormat="1" ht="6.75" customHeight="1">
      <c r="A152" s="1230"/>
      <c r="B152" s="1380"/>
      <c r="C152" s="1380"/>
      <c r="D152" s="1381"/>
      <c r="E152" s="1381"/>
      <c r="F152" s="1380"/>
      <c r="G152" s="1380"/>
      <c r="H152" s="1380"/>
      <c r="I152" s="1380"/>
      <c r="J152" s="1380"/>
    </row>
    <row r="153" spans="1:10" s="250" customFormat="1" ht="19.5" customHeight="1">
      <c r="A153" s="1223" t="s">
        <v>916</v>
      </c>
      <c r="B153" s="1311">
        <f>B145-B151</f>
        <v>-27584648</v>
      </c>
      <c r="C153" s="1311">
        <f>D145-C151</f>
        <v>-24864373.35</v>
      </c>
      <c r="D153" s="1685">
        <f>D145-D151</f>
        <v>-23992336.53</v>
      </c>
      <c r="E153" s="1686"/>
      <c r="F153" s="1311">
        <f>G145-F151</f>
        <v>-22721449.21</v>
      </c>
      <c r="G153" s="1311">
        <f>G145-G151</f>
        <v>-23992336.53</v>
      </c>
      <c r="H153" s="1311">
        <f>I145-H151</f>
        <v>-22721449.21</v>
      </c>
      <c r="I153" s="1311">
        <f>J145-I151</f>
        <v>0</v>
      </c>
      <c r="J153" s="1311">
        <f>K145-J151</f>
        <v>0</v>
      </c>
    </row>
    <row r="154" spans="1:10" s="262" customFormat="1" ht="12.75" customHeight="1">
      <c r="A154" s="263" t="str">
        <f>'[12]Anexo VI _ RES NOM'!A43</f>
        <v>FONTE: SECRETARIA MUNICIPAL DA FAZENDA</v>
      </c>
      <c r="B154" s="916"/>
      <c r="C154" s="382"/>
      <c r="D154" s="305"/>
      <c r="E154" s="305"/>
      <c r="F154" s="305"/>
      <c r="G154" s="305"/>
      <c r="H154" s="305"/>
      <c r="I154" s="305"/>
      <c r="J154" s="305"/>
    </row>
    <row r="155" spans="1:10" s="250" customFormat="1" ht="12.75" customHeight="1">
      <c r="A155" s="376"/>
      <c r="B155" s="346"/>
      <c r="C155" s="374"/>
      <c r="D155" s="375"/>
      <c r="E155" s="375"/>
      <c r="F155" s="375"/>
      <c r="G155" s="375"/>
      <c r="H155" s="375"/>
      <c r="I155" s="375"/>
      <c r="J155" s="375"/>
    </row>
    <row r="156" spans="1:10" s="250" customFormat="1" ht="12.75" customHeight="1">
      <c r="A156" s="377" t="str">
        <f>'Anexo 1 _ BAL ORC'!A95</f>
        <v>  São Luís,  de Janeiro de 2021.</v>
      </c>
      <c r="B156" s="352"/>
      <c r="C156" s="374"/>
      <c r="D156" s="375"/>
      <c r="E156" s="375"/>
      <c r="F156" s="375"/>
      <c r="G156" s="375"/>
      <c r="H156" s="375"/>
      <c r="I156" s="375"/>
      <c r="J156" s="375"/>
    </row>
    <row r="157" spans="1:10" s="250" customFormat="1" ht="15.75" customHeight="1">
      <c r="A157" s="376"/>
      <c r="B157" s="352"/>
      <c r="C157" s="374"/>
      <c r="D157" s="375"/>
      <c r="E157" s="375"/>
      <c r="F157" s="375"/>
      <c r="G157" s="375"/>
      <c r="H157" s="375"/>
      <c r="I157" s="375"/>
      <c r="J157" s="375"/>
    </row>
    <row r="158" spans="1:10" s="250" customFormat="1" ht="14.25">
      <c r="A158" s="378"/>
      <c r="B158" s="251"/>
      <c r="C158" s="379"/>
      <c r="D158" s="245"/>
      <c r="E158" s="380"/>
      <c r="F158" s="380"/>
      <c r="G158" s="380"/>
      <c r="H158" s="380"/>
      <c r="I158" s="380"/>
      <c r="J158" s="246"/>
    </row>
    <row r="159" spans="1:10" s="250" customFormat="1" ht="14.25">
      <c r="A159" s="353"/>
      <c r="B159" s="246"/>
      <c r="C159" s="246"/>
      <c r="D159" s="246"/>
      <c r="E159" s="246"/>
      <c r="F159" s="246"/>
      <c r="G159" s="246"/>
      <c r="H159" s="246"/>
      <c r="I159" s="246"/>
      <c r="J159" s="246"/>
    </row>
    <row r="160" spans="1:10" s="250" customFormat="1" ht="14.25">
      <c r="A160" s="353"/>
      <c r="B160" s="246"/>
      <c r="C160" s="246"/>
      <c r="D160" s="246"/>
      <c r="E160" s="246"/>
      <c r="F160" s="246"/>
      <c r="G160" s="246"/>
      <c r="H160" s="246"/>
      <c r="I160" s="246"/>
      <c r="J160" s="246"/>
    </row>
    <row r="161" spans="1:10" s="250" customFormat="1" ht="14.25">
      <c r="A161" s="353"/>
      <c r="B161" s="246"/>
      <c r="C161" s="246"/>
      <c r="D161" s="246"/>
      <c r="E161" s="246"/>
      <c r="F161" s="246"/>
      <c r="G161" s="246"/>
      <c r="H161" s="246"/>
      <c r="I161" s="246"/>
      <c r="J161" s="246"/>
    </row>
    <row r="162" spans="1:10" s="250" customFormat="1" ht="14.25">
      <c r="A162" s="353"/>
      <c r="B162" s="246"/>
      <c r="C162" s="246"/>
      <c r="D162" s="246"/>
      <c r="E162" s="246"/>
      <c r="F162" s="246"/>
      <c r="G162" s="246"/>
      <c r="H162" s="246"/>
      <c r="I162" s="246"/>
      <c r="J162" s="246"/>
    </row>
    <row r="163" spans="1:10" s="250" customFormat="1" ht="14.25">
      <c r="A163" s="353"/>
      <c r="B163" s="246"/>
      <c r="C163" s="246"/>
      <c r="D163" s="246"/>
      <c r="E163" s="246"/>
      <c r="F163" s="246"/>
      <c r="G163" s="246"/>
      <c r="H163" s="246"/>
      <c r="I163" s="246"/>
      <c r="J163" s="246"/>
    </row>
    <row r="164" spans="1:10" s="250" customFormat="1" ht="14.25">
      <c r="A164" s="353"/>
      <c r="B164" s="246"/>
      <c r="C164" s="246"/>
      <c r="D164" s="246"/>
      <c r="E164" s="246"/>
      <c r="F164" s="246"/>
      <c r="G164" s="246"/>
      <c r="H164" s="246"/>
      <c r="I164" s="246"/>
      <c r="J164" s="246"/>
    </row>
    <row r="165" ht="11.25"/>
    <row r="198" ht="12.75" customHeight="1">
      <c r="A198" s="83"/>
    </row>
  </sheetData>
  <sheetProtection/>
  <mergeCells count="242">
    <mergeCell ref="D142:F143"/>
    <mergeCell ref="B139:J139"/>
    <mergeCell ref="H33:J33"/>
    <mergeCell ref="H34:J34"/>
    <mergeCell ref="H35:J35"/>
    <mergeCell ref="D134:E134"/>
    <mergeCell ref="D136:E136"/>
    <mergeCell ref="G143:H143"/>
    <mergeCell ref="I143:J143"/>
    <mergeCell ref="G142:J142"/>
    <mergeCell ref="D137:E137"/>
    <mergeCell ref="B138:J138"/>
    <mergeCell ref="D106:G106"/>
    <mergeCell ref="D130:E130"/>
    <mergeCell ref="D125:E125"/>
    <mergeCell ref="D126:E126"/>
    <mergeCell ref="D127:E127"/>
    <mergeCell ref="D128:E128"/>
    <mergeCell ref="D129:E129"/>
    <mergeCell ref="D118:G118"/>
    <mergeCell ref="D107:G107"/>
    <mergeCell ref="D132:E132"/>
    <mergeCell ref="D133:E133"/>
    <mergeCell ref="L82:O82"/>
    <mergeCell ref="D123:E123"/>
    <mergeCell ref="D109:G109"/>
    <mergeCell ref="H109:J109"/>
    <mergeCell ref="D110:G110"/>
    <mergeCell ref="H110:J110"/>
    <mergeCell ref="D114:G114"/>
    <mergeCell ref="D124:E124"/>
    <mergeCell ref="L80:O80"/>
    <mergeCell ref="L81:O81"/>
    <mergeCell ref="B80:F80"/>
    <mergeCell ref="G80:J80"/>
    <mergeCell ref="G81:J81"/>
    <mergeCell ref="H96:J96"/>
    <mergeCell ref="D96:G96"/>
    <mergeCell ref="H89:J89"/>
    <mergeCell ref="H86:J86"/>
    <mergeCell ref="H87:J87"/>
    <mergeCell ref="D94:G94"/>
    <mergeCell ref="D95:G95"/>
    <mergeCell ref="D103:G103"/>
    <mergeCell ref="B82:F82"/>
    <mergeCell ref="D89:G89"/>
    <mergeCell ref="D90:G90"/>
    <mergeCell ref="D93:G93"/>
    <mergeCell ref="D91:G91"/>
    <mergeCell ref="B85:B86"/>
    <mergeCell ref="H108:J108"/>
    <mergeCell ref="B79:F79"/>
    <mergeCell ref="D88:G88"/>
    <mergeCell ref="D86:G86"/>
    <mergeCell ref="D87:G87"/>
    <mergeCell ref="H91:J91"/>
    <mergeCell ref="H92:J92"/>
    <mergeCell ref="C85:C86"/>
    <mergeCell ref="D85:J85"/>
    <mergeCell ref="H93:J93"/>
    <mergeCell ref="H107:J107"/>
    <mergeCell ref="D98:G98"/>
    <mergeCell ref="D99:G99"/>
    <mergeCell ref="H102:J102"/>
    <mergeCell ref="D92:G92"/>
    <mergeCell ref="D104:G104"/>
    <mergeCell ref="H105:J105"/>
    <mergeCell ref="H95:J95"/>
    <mergeCell ref="D101:G101"/>
    <mergeCell ref="H97:J97"/>
    <mergeCell ref="A78:A79"/>
    <mergeCell ref="G79:J79"/>
    <mergeCell ref="B78:J78"/>
    <mergeCell ref="D57:E57"/>
    <mergeCell ref="D58:E58"/>
    <mergeCell ref="B67:J67"/>
    <mergeCell ref="B69:J71"/>
    <mergeCell ref="A69:A71"/>
    <mergeCell ref="D53:E53"/>
    <mergeCell ref="G82:J82"/>
    <mergeCell ref="D54:E54"/>
    <mergeCell ref="B81:F81"/>
    <mergeCell ref="D59:E59"/>
    <mergeCell ref="D61:E61"/>
    <mergeCell ref="B72:J72"/>
    <mergeCell ref="B73:J73"/>
    <mergeCell ref="H21:J21"/>
    <mergeCell ref="H22:J22"/>
    <mergeCell ref="H23:J23"/>
    <mergeCell ref="D62:E62"/>
    <mergeCell ref="D49:E49"/>
    <mergeCell ref="D50:E50"/>
    <mergeCell ref="D55:E55"/>
    <mergeCell ref="D56:E56"/>
    <mergeCell ref="D51:E51"/>
    <mergeCell ref="D52:E52"/>
    <mergeCell ref="H19:J19"/>
    <mergeCell ref="H20:J20"/>
    <mergeCell ref="D17:G17"/>
    <mergeCell ref="D18:G18"/>
    <mergeCell ref="H17:J17"/>
    <mergeCell ref="H18:J18"/>
    <mergeCell ref="D11:G11"/>
    <mergeCell ref="H11:J11"/>
    <mergeCell ref="D15:G15"/>
    <mergeCell ref="D16:G16"/>
    <mergeCell ref="H15:J15"/>
    <mergeCell ref="H16:J16"/>
    <mergeCell ref="D14:G14"/>
    <mergeCell ref="H14:J14"/>
    <mergeCell ref="D12:G12"/>
    <mergeCell ref="D13:G13"/>
    <mergeCell ref="E7:G7"/>
    <mergeCell ref="I7:J7"/>
    <mergeCell ref="C9:C10"/>
    <mergeCell ref="D9:J9"/>
    <mergeCell ref="D10:G10"/>
    <mergeCell ref="H10:J10"/>
    <mergeCell ref="A8:J8"/>
    <mergeCell ref="A9:A10"/>
    <mergeCell ref="B9:B10"/>
    <mergeCell ref="H12:J12"/>
    <mergeCell ref="H13:J13"/>
    <mergeCell ref="D117:G117"/>
    <mergeCell ref="H117:J117"/>
    <mergeCell ref="D111:G111"/>
    <mergeCell ref="H111:J111"/>
    <mergeCell ref="D112:G112"/>
    <mergeCell ref="D19:G19"/>
    <mergeCell ref="D20:G20"/>
    <mergeCell ref="H112:J112"/>
    <mergeCell ref="D34:G34"/>
    <mergeCell ref="D31:G31"/>
    <mergeCell ref="A120:A122"/>
    <mergeCell ref="B120:B122"/>
    <mergeCell ref="C120:C122"/>
    <mergeCell ref="D120:F121"/>
    <mergeCell ref="G120:H121"/>
    <mergeCell ref="D122:E122"/>
    <mergeCell ref="B66:J66"/>
    <mergeCell ref="B64:J64"/>
    <mergeCell ref="D33:G33"/>
    <mergeCell ref="D30:G30"/>
    <mergeCell ref="D28:G28"/>
    <mergeCell ref="H27:J27"/>
    <mergeCell ref="H24:J24"/>
    <mergeCell ref="H25:J25"/>
    <mergeCell ref="H29:J29"/>
    <mergeCell ref="H30:J30"/>
    <mergeCell ref="H31:J31"/>
    <mergeCell ref="H32:J32"/>
    <mergeCell ref="D21:G21"/>
    <mergeCell ref="D22:G22"/>
    <mergeCell ref="D23:G23"/>
    <mergeCell ref="D24:G24"/>
    <mergeCell ref="D25:G25"/>
    <mergeCell ref="D26:G26"/>
    <mergeCell ref="I120:J121"/>
    <mergeCell ref="D108:G108"/>
    <mergeCell ref="H106:J106"/>
    <mergeCell ref="D113:G113"/>
    <mergeCell ref="H113:J113"/>
    <mergeCell ref="H103:J103"/>
    <mergeCell ref="H115:J115"/>
    <mergeCell ref="D116:G116"/>
    <mergeCell ref="H116:J116"/>
    <mergeCell ref="H118:J118"/>
    <mergeCell ref="H114:J114"/>
    <mergeCell ref="D115:G115"/>
    <mergeCell ref="H99:J99"/>
    <mergeCell ref="D100:G100"/>
    <mergeCell ref="H41:J41"/>
    <mergeCell ref="H42:J42"/>
    <mergeCell ref="D43:G43"/>
    <mergeCell ref="D45:F46"/>
    <mergeCell ref="D47:E47"/>
    <mergeCell ref="B63:J63"/>
    <mergeCell ref="H43:J43"/>
    <mergeCell ref="G45:H46"/>
    <mergeCell ref="I45:J46"/>
    <mergeCell ref="H94:J94"/>
    <mergeCell ref="D105:G105"/>
    <mergeCell ref="A84:J84"/>
    <mergeCell ref="A45:A47"/>
    <mergeCell ref="B45:B47"/>
    <mergeCell ref="C45:C47"/>
    <mergeCell ref="D48:E48"/>
    <mergeCell ref="H40:J40"/>
    <mergeCell ref="D38:G38"/>
    <mergeCell ref="D37:G37"/>
    <mergeCell ref="H37:J37"/>
    <mergeCell ref="D41:G41"/>
    <mergeCell ref="D40:G40"/>
    <mergeCell ref="H39:J39"/>
    <mergeCell ref="D39:G39"/>
    <mergeCell ref="D131:E131"/>
    <mergeCell ref="H26:J26"/>
    <mergeCell ref="H36:J36"/>
    <mergeCell ref="H38:J38"/>
    <mergeCell ref="D35:G35"/>
    <mergeCell ref="D29:G29"/>
    <mergeCell ref="D36:G36"/>
    <mergeCell ref="D27:G27"/>
    <mergeCell ref="D32:G32"/>
    <mergeCell ref="H28:J28"/>
    <mergeCell ref="H98:J98"/>
    <mergeCell ref="D102:G102"/>
    <mergeCell ref="H100:J100"/>
    <mergeCell ref="H101:J101"/>
    <mergeCell ref="D97:G97"/>
    <mergeCell ref="A65:J65"/>
    <mergeCell ref="B74:J74"/>
    <mergeCell ref="B75:J75"/>
    <mergeCell ref="H90:J90"/>
    <mergeCell ref="H88:J88"/>
    <mergeCell ref="D42:G42"/>
    <mergeCell ref="A85:A86"/>
    <mergeCell ref="I145:J145"/>
    <mergeCell ref="B145:C145"/>
    <mergeCell ref="D145:F145"/>
    <mergeCell ref="G145:H145"/>
    <mergeCell ref="H104:J104"/>
    <mergeCell ref="B140:J140"/>
    <mergeCell ref="G144:H144"/>
    <mergeCell ref="A142:A143"/>
    <mergeCell ref="D153:E153"/>
    <mergeCell ref="D149:E149"/>
    <mergeCell ref="D147:F147"/>
    <mergeCell ref="C147:C148"/>
    <mergeCell ref="G147:H147"/>
    <mergeCell ref="D150:E150"/>
    <mergeCell ref="D151:E151"/>
    <mergeCell ref="A147:A148"/>
    <mergeCell ref="B147:B148"/>
    <mergeCell ref="D148:E148"/>
    <mergeCell ref="I147:J147"/>
    <mergeCell ref="D146:E146"/>
    <mergeCell ref="A141:J141"/>
    <mergeCell ref="B144:C144"/>
    <mergeCell ref="D144:F144"/>
    <mergeCell ref="I144:J144"/>
    <mergeCell ref="B142:C143"/>
  </mergeCells>
  <printOptions horizontalCentered="1"/>
  <pageMargins left="0.1968503937007874" right="0.2755905511811024" top="0.7874015748031497" bottom="0.3937007874015748" header="0.5118110236220472" footer="0.5118110236220472"/>
  <pageSetup fitToHeight="0" horizontalDpi="600" verticalDpi="600" orientation="landscape" paperSize="9" scale="58" r:id="rId2"/>
  <headerFooter scaleWithDoc="0">
    <oddFooter>&amp;L&amp;8Publicação: Diário Oficial do Município nº 19
Data: 28.01.2021&amp;R&amp;8&amp;P / &amp;N</oddFooter>
  </headerFooter>
  <rowBreaks count="3" manualBreakCount="3">
    <brk id="44" max="9" man="1"/>
    <brk id="82" max="9" man="1"/>
    <brk id="118" max="9" man="1"/>
  </rowBreaks>
  <ignoredErrors>
    <ignoredError sqref="C56 C52 G6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EX130"/>
  <sheetViews>
    <sheetView showGridLines="0" view="pageBreakPreview" zoomScaleSheetLayoutView="100" zoomScalePageLayoutView="0" workbookViewId="0" topLeftCell="A1">
      <selection activeCell="N97" sqref="N97:P97"/>
    </sheetView>
  </sheetViews>
  <sheetFormatPr defaultColWidth="7.8515625" defaultRowHeight="15" customHeight="1"/>
  <cols>
    <col min="1" max="1" width="63.7109375" style="36" customWidth="1"/>
    <col min="2" max="2" width="25.8515625" style="35" customWidth="1"/>
    <col min="3" max="3" width="20.00390625" style="35" customWidth="1"/>
    <col min="4" max="4" width="24.8515625" style="36" customWidth="1"/>
    <col min="5" max="5" width="19.00390625" style="36" customWidth="1"/>
    <col min="6" max="13" width="7.8515625" style="35" hidden="1" customWidth="1"/>
    <col min="14" max="14" width="26.28125" style="35" customWidth="1"/>
    <col min="15" max="15" width="20.28125" style="38" customWidth="1"/>
    <col min="16" max="16" width="23.7109375" style="36" bestFit="1" customWidth="1"/>
    <col min="17" max="17" width="7.8515625" style="36" customWidth="1"/>
    <col min="18" max="18" width="24.421875" style="36" customWidth="1"/>
    <col min="19" max="19" width="7.8515625" style="36" customWidth="1"/>
    <col min="20" max="20" width="18.7109375" style="36" bestFit="1" customWidth="1"/>
    <col min="21" max="22" width="17.7109375" style="35" bestFit="1" customWidth="1"/>
    <col min="23" max="23" width="10.57421875" style="35" bestFit="1" customWidth="1"/>
    <col min="24" max="16384" width="7.8515625" style="35" customWidth="1"/>
  </cols>
  <sheetData>
    <row r="1" spans="1:20" s="417" customFormat="1" ht="15" customHeight="1">
      <c r="A1" s="1821" t="s">
        <v>442</v>
      </c>
      <c r="B1" s="1821"/>
      <c r="C1" s="1821"/>
      <c r="D1" s="1821"/>
      <c r="E1" s="1821"/>
      <c r="O1" s="418"/>
      <c r="P1" s="419"/>
      <c r="Q1" s="419"/>
      <c r="R1" s="419"/>
      <c r="S1" s="419"/>
      <c r="T1" s="419"/>
    </row>
    <row r="2" spans="1:20" s="417" customFormat="1" ht="15" customHeight="1">
      <c r="A2" s="1821" t="s">
        <v>443</v>
      </c>
      <c r="B2" s="1821"/>
      <c r="C2" s="1821"/>
      <c r="D2" s="1821"/>
      <c r="E2" s="1821"/>
      <c r="O2" s="418"/>
      <c r="P2" s="419"/>
      <c r="Q2" s="419"/>
      <c r="R2" s="419"/>
      <c r="S2" s="419"/>
      <c r="T2" s="419"/>
    </row>
    <row r="3" spans="1:20" s="417" customFormat="1" ht="15" customHeight="1">
      <c r="A3" s="73" t="s">
        <v>586</v>
      </c>
      <c r="B3" s="420"/>
      <c r="C3" s="420"/>
      <c r="D3" s="377"/>
      <c r="E3" s="377"/>
      <c r="N3" s="377"/>
      <c r="O3" s="418"/>
      <c r="P3" s="419"/>
      <c r="Q3" s="419"/>
      <c r="R3" s="419"/>
      <c r="S3" s="419"/>
      <c r="T3" s="419"/>
    </row>
    <row r="4" spans="1:20" s="417" customFormat="1" ht="15" customHeight="1">
      <c r="A4" s="73" t="s">
        <v>438</v>
      </c>
      <c r="B4" s="390"/>
      <c r="C4" s="390"/>
      <c r="D4" s="385"/>
      <c r="E4" s="377"/>
      <c r="N4" s="385"/>
      <c r="O4" s="418"/>
      <c r="P4" s="419"/>
      <c r="Q4" s="419"/>
      <c r="R4" s="419"/>
      <c r="S4" s="419"/>
      <c r="T4" s="419"/>
    </row>
    <row r="5" spans="1:20" s="349" customFormat="1" ht="15.75" customHeight="1">
      <c r="A5" s="348" t="str">
        <f>'Anexo 4 _ PREVID '!A5</f>
        <v>            Referência: JANEIRO-DEZEMBRO/2020; BIMESTRE: NOVEMBRO-DEZEMBRO/2020</v>
      </c>
      <c r="B5" s="421"/>
      <c r="C5" s="421"/>
      <c r="D5" s="421"/>
      <c r="E5" s="422"/>
      <c r="O5" s="423"/>
      <c r="P5" s="389"/>
      <c r="Q5" s="389"/>
      <c r="R5" s="389"/>
      <c r="S5" s="389"/>
      <c r="T5" s="389"/>
    </row>
    <row r="6" spans="1:20" s="403" customFormat="1" ht="15" customHeight="1">
      <c r="A6" s="424"/>
      <c r="B6" s="425"/>
      <c r="C6" s="425"/>
      <c r="D6" s="426"/>
      <c r="E6" s="424"/>
      <c r="O6" s="414"/>
      <c r="P6" s="415"/>
      <c r="Q6" s="415"/>
      <c r="R6" s="415"/>
      <c r="S6" s="415"/>
      <c r="T6" s="415"/>
    </row>
    <row r="7" spans="1:20" s="403" customFormat="1" ht="15" customHeight="1">
      <c r="A7" s="427" t="s">
        <v>326</v>
      </c>
      <c r="B7" s="414"/>
      <c r="C7" s="414"/>
      <c r="D7" s="428"/>
      <c r="E7" s="429"/>
      <c r="O7" s="414"/>
      <c r="P7" s="921"/>
      <c r="Q7" s="415"/>
      <c r="R7" s="415"/>
      <c r="S7" s="415"/>
      <c r="T7" s="415"/>
    </row>
    <row r="8" spans="1:20" s="403" customFormat="1" ht="26.25" customHeight="1">
      <c r="A8" s="1820" t="s">
        <v>542</v>
      </c>
      <c r="B8" s="1820"/>
      <c r="C8" s="1820"/>
      <c r="D8" s="1820"/>
      <c r="E8" s="1820"/>
      <c r="F8" s="1820"/>
      <c r="G8" s="1820"/>
      <c r="H8" s="1820"/>
      <c r="I8" s="1820"/>
      <c r="J8" s="1820"/>
      <c r="K8" s="1820"/>
      <c r="L8" s="1820"/>
      <c r="M8" s="1820"/>
      <c r="N8" s="1820"/>
      <c r="O8" s="1820"/>
      <c r="P8" s="1820"/>
      <c r="Q8" s="415"/>
      <c r="R8" s="415"/>
      <c r="S8" s="415"/>
      <c r="T8" s="415"/>
    </row>
    <row r="9" spans="1:22" s="403" customFormat="1" ht="15" customHeight="1">
      <c r="A9" s="1822" t="s">
        <v>450</v>
      </c>
      <c r="B9" s="1837" t="s">
        <v>169</v>
      </c>
      <c r="C9" s="1838"/>
      <c r="D9" s="1855" t="s">
        <v>923</v>
      </c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7"/>
      <c r="Q9" s="415"/>
      <c r="R9" s="415"/>
      <c r="S9" s="415"/>
      <c r="T9" s="430"/>
      <c r="V9" s="431"/>
    </row>
    <row r="10" spans="1:21" s="403" customFormat="1" ht="30" customHeight="1">
      <c r="A10" s="1823"/>
      <c r="B10" s="1839"/>
      <c r="C10" s="1840"/>
      <c r="D10" s="1824" t="s">
        <v>541</v>
      </c>
      <c r="E10" s="1825"/>
      <c r="F10" s="1825"/>
      <c r="G10" s="1825"/>
      <c r="H10" s="1825"/>
      <c r="I10" s="1825"/>
      <c r="J10" s="1825"/>
      <c r="K10" s="1825"/>
      <c r="L10" s="1825"/>
      <c r="M10" s="1825"/>
      <c r="N10" s="1825"/>
      <c r="O10" s="1825"/>
      <c r="P10" s="1826"/>
      <c r="Q10" s="415"/>
      <c r="R10" s="415"/>
      <c r="S10" s="415"/>
      <c r="T10" s="415"/>
      <c r="U10" s="432"/>
    </row>
    <row r="11" spans="1:21" s="403" customFormat="1" ht="15.75" customHeight="1">
      <c r="A11" s="940" t="s">
        <v>138</v>
      </c>
      <c r="B11" s="1841">
        <f>B12+B18+B19+B22+B31</f>
        <v>3534104973.28</v>
      </c>
      <c r="C11" s="1842"/>
      <c r="D11" s="1873">
        <f>D12+D18+D19+D22+D31</f>
        <v>3344354131.54</v>
      </c>
      <c r="E11" s="1874"/>
      <c r="F11" s="1874"/>
      <c r="G11" s="1874"/>
      <c r="H11" s="1874"/>
      <c r="I11" s="1874"/>
      <c r="J11" s="1874"/>
      <c r="K11" s="1874"/>
      <c r="L11" s="1874"/>
      <c r="M11" s="1874"/>
      <c r="N11" s="1874"/>
      <c r="O11" s="1874"/>
      <c r="P11" s="1875"/>
      <c r="Q11" s="415"/>
      <c r="R11" s="415"/>
      <c r="S11" s="415"/>
      <c r="T11" s="433"/>
      <c r="U11" s="431"/>
    </row>
    <row r="12" spans="1:20" s="403" customFormat="1" ht="15.75" customHeight="1">
      <c r="A12" s="941" t="s">
        <v>623</v>
      </c>
      <c r="B12" s="1829">
        <f>B13+B14+B15+B16+B17</f>
        <v>891762815</v>
      </c>
      <c r="C12" s="1830"/>
      <c r="D12" s="1815">
        <f>D13+D14+D15+D16+D17</f>
        <v>862132190.64</v>
      </c>
      <c r="E12" s="1816"/>
      <c r="F12" s="1816"/>
      <c r="G12" s="1816"/>
      <c r="H12" s="1816"/>
      <c r="I12" s="1816"/>
      <c r="J12" s="1816"/>
      <c r="K12" s="1816"/>
      <c r="L12" s="1816"/>
      <c r="M12" s="1816"/>
      <c r="N12" s="1816"/>
      <c r="O12" s="1816"/>
      <c r="P12" s="1817"/>
      <c r="Q12" s="415"/>
      <c r="R12" s="415"/>
      <c r="S12" s="415"/>
      <c r="T12" s="430"/>
    </row>
    <row r="13" spans="1:20" s="403" customFormat="1" ht="15.75" customHeight="1">
      <c r="A13" s="941" t="s">
        <v>536</v>
      </c>
      <c r="B13" s="1803">
        <v>129234886</v>
      </c>
      <c r="C13" s="1804"/>
      <c r="D13" s="1808">
        <f>130488764.3-22903.02</f>
        <v>130465861.28</v>
      </c>
      <c r="E13" s="1809"/>
      <c r="F13" s="1809"/>
      <c r="G13" s="1809"/>
      <c r="H13" s="1809"/>
      <c r="I13" s="1809"/>
      <c r="J13" s="1809"/>
      <c r="K13" s="1809"/>
      <c r="L13" s="1809"/>
      <c r="M13" s="1809"/>
      <c r="N13" s="1809"/>
      <c r="O13" s="1809"/>
      <c r="P13" s="1810"/>
      <c r="Q13" s="415"/>
      <c r="R13" s="415"/>
      <c r="S13" s="415"/>
      <c r="T13" s="430"/>
    </row>
    <row r="14" spans="1:20" s="403" customFormat="1" ht="15.75" customHeight="1">
      <c r="A14" s="941" t="s">
        <v>537</v>
      </c>
      <c r="B14" s="1803">
        <v>607430951</v>
      </c>
      <c r="C14" s="1804"/>
      <c r="D14" s="1808">
        <f>587166619.86-13073.8</f>
        <v>587153546.0600001</v>
      </c>
      <c r="E14" s="1809"/>
      <c r="F14" s="1809"/>
      <c r="G14" s="1809"/>
      <c r="H14" s="1809"/>
      <c r="I14" s="1809"/>
      <c r="J14" s="1809"/>
      <c r="K14" s="1809"/>
      <c r="L14" s="1809"/>
      <c r="M14" s="1809"/>
      <c r="N14" s="1809"/>
      <c r="O14" s="1809"/>
      <c r="P14" s="1810"/>
      <c r="Q14" s="415"/>
      <c r="R14" s="415"/>
      <c r="S14" s="415"/>
      <c r="T14" s="430"/>
    </row>
    <row r="15" spans="1:20" s="403" customFormat="1" ht="15.75" customHeight="1">
      <c r="A15" s="941" t="s">
        <v>538</v>
      </c>
      <c r="B15" s="1803">
        <v>34284818</v>
      </c>
      <c r="C15" s="1804"/>
      <c r="D15" s="1808">
        <f>32447501.73-12727.18</f>
        <v>32434774.55</v>
      </c>
      <c r="E15" s="1809"/>
      <c r="F15" s="1809"/>
      <c r="G15" s="1809"/>
      <c r="H15" s="1809"/>
      <c r="I15" s="1809"/>
      <c r="J15" s="1809"/>
      <c r="K15" s="1809"/>
      <c r="L15" s="1809"/>
      <c r="M15" s="1809"/>
      <c r="N15" s="1809"/>
      <c r="O15" s="1809"/>
      <c r="P15" s="1810"/>
      <c r="Q15" s="415"/>
      <c r="R15" s="415"/>
      <c r="S15" s="415"/>
      <c r="T15" s="430"/>
    </row>
    <row r="16" spans="1:20" s="403" customFormat="1" ht="15.75" customHeight="1">
      <c r="A16" s="941" t="s">
        <v>539</v>
      </c>
      <c r="B16" s="1803">
        <v>94207607</v>
      </c>
      <c r="C16" s="1804"/>
      <c r="D16" s="1808">
        <f>90048556.72-449.64</f>
        <v>90048107.08</v>
      </c>
      <c r="E16" s="1809"/>
      <c r="F16" s="1809"/>
      <c r="G16" s="1809"/>
      <c r="H16" s="1809"/>
      <c r="I16" s="1809"/>
      <c r="J16" s="1809"/>
      <c r="K16" s="1809"/>
      <c r="L16" s="1809"/>
      <c r="M16" s="1809"/>
      <c r="N16" s="1809"/>
      <c r="O16" s="1809"/>
      <c r="P16" s="1810"/>
      <c r="Q16" s="415"/>
      <c r="R16" s="415"/>
      <c r="S16" s="415"/>
      <c r="T16" s="430"/>
    </row>
    <row r="17" spans="1:20" s="445" customFormat="1" ht="15.75" customHeight="1">
      <c r="A17" s="941" t="s">
        <v>540</v>
      </c>
      <c r="B17" s="1803">
        <f>891762815-865158262</f>
        <v>26604553</v>
      </c>
      <c r="C17" s="1804"/>
      <c r="D17" s="1808">
        <f>862217722.91-840102288.97-85532.27</f>
        <v>22029901.66999994</v>
      </c>
      <c r="E17" s="1809"/>
      <c r="F17" s="1809"/>
      <c r="G17" s="1809"/>
      <c r="H17" s="1809"/>
      <c r="I17" s="1809"/>
      <c r="J17" s="1809"/>
      <c r="K17" s="1809"/>
      <c r="L17" s="1809"/>
      <c r="M17" s="1809"/>
      <c r="N17" s="1809"/>
      <c r="O17" s="1809"/>
      <c r="P17" s="1810"/>
      <c r="Q17" s="416"/>
      <c r="R17" s="416"/>
      <c r="S17" s="416"/>
      <c r="T17" s="920"/>
    </row>
    <row r="18" spans="1:154" s="403" customFormat="1" ht="15.75" customHeight="1">
      <c r="A18" s="941" t="s">
        <v>584</v>
      </c>
      <c r="B18" s="1829">
        <v>181496747</v>
      </c>
      <c r="C18" s="1830"/>
      <c r="D18" s="1815">
        <v>142860532.64</v>
      </c>
      <c r="E18" s="1816"/>
      <c r="F18" s="1816"/>
      <c r="G18" s="1816"/>
      <c r="H18" s="1816"/>
      <c r="I18" s="1816"/>
      <c r="J18" s="1816"/>
      <c r="K18" s="1816"/>
      <c r="L18" s="1816"/>
      <c r="M18" s="1816"/>
      <c r="N18" s="1816"/>
      <c r="O18" s="1816"/>
      <c r="P18" s="1817"/>
      <c r="Q18" s="434"/>
      <c r="R18" s="434"/>
      <c r="S18" s="434"/>
      <c r="T18" s="434"/>
      <c r="U18" s="436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437"/>
      <c r="DR18" s="437"/>
      <c r="DS18" s="437"/>
      <c r="DT18" s="437"/>
      <c r="DU18" s="437"/>
      <c r="DV18" s="437"/>
      <c r="DW18" s="437"/>
      <c r="DX18" s="437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</row>
    <row r="19" spans="1:154" s="441" customFormat="1" ht="15.75" customHeight="1">
      <c r="A19" s="941" t="s">
        <v>543</v>
      </c>
      <c r="B19" s="1829">
        <f>B20+B21</f>
        <v>143714315</v>
      </c>
      <c r="C19" s="1830"/>
      <c r="D19" s="1815">
        <f>D20+D21</f>
        <v>103372310</v>
      </c>
      <c r="E19" s="1816"/>
      <c r="F19" s="1816"/>
      <c r="G19" s="1816"/>
      <c r="H19" s="1816"/>
      <c r="I19" s="1816"/>
      <c r="J19" s="1816"/>
      <c r="K19" s="1816"/>
      <c r="L19" s="1816"/>
      <c r="M19" s="1816"/>
      <c r="N19" s="1816"/>
      <c r="O19" s="1816"/>
      <c r="P19" s="1817"/>
      <c r="Q19" s="442"/>
      <c r="R19" s="442"/>
      <c r="S19" s="442"/>
      <c r="T19" s="442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3"/>
      <c r="DX19" s="443"/>
      <c r="DY19" s="443"/>
      <c r="DZ19" s="443"/>
      <c r="EA19" s="443"/>
      <c r="EB19" s="443"/>
      <c r="EC19" s="443"/>
      <c r="ED19" s="443"/>
      <c r="EE19" s="443"/>
      <c r="EF19" s="443"/>
      <c r="EG19" s="443"/>
      <c r="EH19" s="443"/>
      <c r="EI19" s="443"/>
      <c r="EJ19" s="443"/>
      <c r="EK19" s="443"/>
      <c r="EL19" s="443"/>
      <c r="EM19" s="443"/>
      <c r="EN19" s="443"/>
      <c r="EO19" s="443"/>
      <c r="EP19" s="443"/>
      <c r="EQ19" s="443"/>
      <c r="ER19" s="443"/>
      <c r="ES19" s="443"/>
      <c r="ET19" s="443"/>
      <c r="EU19" s="443"/>
      <c r="EV19" s="443"/>
      <c r="EW19" s="443"/>
      <c r="EX19" s="443"/>
    </row>
    <row r="20" spans="1:154" s="403" customFormat="1" ht="15.75" customHeight="1">
      <c r="A20" s="942" t="s">
        <v>544</v>
      </c>
      <c r="B20" s="1803">
        <v>54686791</v>
      </c>
      <c r="C20" s="1804"/>
      <c r="D20" s="1808">
        <v>42863324.51</v>
      </c>
      <c r="E20" s="1809"/>
      <c r="F20" s="1809"/>
      <c r="G20" s="1809"/>
      <c r="H20" s="1809"/>
      <c r="I20" s="1809"/>
      <c r="J20" s="1809"/>
      <c r="K20" s="1809"/>
      <c r="L20" s="1809"/>
      <c r="M20" s="1809"/>
      <c r="N20" s="1809"/>
      <c r="O20" s="1809"/>
      <c r="P20" s="1810"/>
      <c r="Q20" s="434"/>
      <c r="R20" s="434"/>
      <c r="S20" s="434"/>
      <c r="T20" s="434"/>
      <c r="U20" s="437"/>
      <c r="V20" s="444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/>
      <c r="EN20" s="437"/>
      <c r="EO20" s="437"/>
      <c r="EP20" s="437"/>
      <c r="EQ20" s="437"/>
      <c r="ER20" s="437"/>
      <c r="ES20" s="437"/>
      <c r="ET20" s="437"/>
      <c r="EU20" s="437"/>
      <c r="EV20" s="437"/>
      <c r="EW20" s="437"/>
      <c r="EX20" s="437"/>
    </row>
    <row r="21" spans="1:154" s="403" customFormat="1" ht="15.75" customHeight="1">
      <c r="A21" s="943" t="s">
        <v>545</v>
      </c>
      <c r="B21" s="1803">
        <f>27967729+1059795+60000000</f>
        <v>89027524</v>
      </c>
      <c r="C21" s="1804"/>
      <c r="D21" s="1808">
        <f>60000000+28604.95+480380.54</f>
        <v>60508985.49</v>
      </c>
      <c r="E21" s="1809"/>
      <c r="F21" s="1809"/>
      <c r="G21" s="1809"/>
      <c r="H21" s="1809"/>
      <c r="I21" s="1809"/>
      <c r="J21" s="1809"/>
      <c r="K21" s="1809"/>
      <c r="L21" s="1809"/>
      <c r="M21" s="1809"/>
      <c r="N21" s="1809"/>
      <c r="O21" s="1809"/>
      <c r="P21" s="1810"/>
      <c r="Q21" s="434"/>
      <c r="R21" s="434"/>
      <c r="S21" s="434"/>
      <c r="T21" s="434"/>
      <c r="U21" s="437"/>
      <c r="V21" s="436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7"/>
      <c r="DQ21" s="437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</row>
    <row r="22" spans="1:154" s="445" customFormat="1" ht="15.75" customHeight="1">
      <c r="A22" s="941" t="s">
        <v>140</v>
      </c>
      <c r="B22" s="1829">
        <f>B23+B24+B25+B26+B27+B28+B29+B30</f>
        <v>2150930356.55</v>
      </c>
      <c r="C22" s="1830"/>
      <c r="D22" s="1815">
        <f>D23+D24+D25+D26+D27+D28+D29+D30</f>
        <v>2193930179.02</v>
      </c>
      <c r="E22" s="1816"/>
      <c r="F22" s="1816"/>
      <c r="G22" s="1816"/>
      <c r="H22" s="1816"/>
      <c r="I22" s="1816"/>
      <c r="J22" s="1816"/>
      <c r="K22" s="1816"/>
      <c r="L22" s="1816"/>
      <c r="M22" s="1816"/>
      <c r="N22" s="1816"/>
      <c r="O22" s="1816"/>
      <c r="P22" s="1817"/>
      <c r="Q22" s="442"/>
      <c r="R22" s="442"/>
      <c r="S22" s="442"/>
      <c r="T22" s="446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3"/>
      <c r="DX22" s="443"/>
      <c r="DY22" s="443"/>
      <c r="DZ22" s="443"/>
      <c r="EA22" s="443"/>
      <c r="EB22" s="443"/>
      <c r="EC22" s="443"/>
      <c r="ED22" s="443"/>
      <c r="EE22" s="443"/>
      <c r="EF22" s="443"/>
      <c r="EG22" s="443"/>
      <c r="EH22" s="443"/>
      <c r="EI22" s="443"/>
      <c r="EJ22" s="443"/>
      <c r="EK22" s="443"/>
      <c r="EL22" s="443"/>
      <c r="EM22" s="443"/>
      <c r="EN22" s="443"/>
      <c r="EO22" s="443"/>
      <c r="EP22" s="443"/>
      <c r="EQ22" s="443"/>
      <c r="ER22" s="443"/>
      <c r="ES22" s="443"/>
      <c r="ET22" s="443"/>
      <c r="EU22" s="443"/>
      <c r="EV22" s="443"/>
      <c r="EW22" s="443"/>
      <c r="EX22" s="443"/>
    </row>
    <row r="23" spans="1:154" s="403" customFormat="1" ht="15.75" customHeight="1">
      <c r="A23" s="943" t="s">
        <v>341</v>
      </c>
      <c r="B23" s="1803">
        <f>516793272-103358654</f>
        <v>413434618</v>
      </c>
      <c r="C23" s="1804"/>
      <c r="D23" s="1808">
        <f>523412198.12-104682439.34</f>
        <v>418729758.78</v>
      </c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10"/>
      <c r="Q23" s="434"/>
      <c r="R23" s="434"/>
      <c r="S23" s="434"/>
      <c r="T23" s="435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/>
      <c r="CX23" s="437"/>
      <c r="CY23" s="437"/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</row>
    <row r="24" spans="1:154" s="403" customFormat="1" ht="15.75" customHeight="1">
      <c r="A24" s="943" t="s">
        <v>546</v>
      </c>
      <c r="B24" s="1803">
        <f>621698769.65-116447207</f>
        <v>505251562.65</v>
      </c>
      <c r="C24" s="1804"/>
      <c r="D24" s="1808">
        <f>633184734.08-126636941.88</f>
        <v>506547792.20000005</v>
      </c>
      <c r="E24" s="1809"/>
      <c r="F24" s="1809"/>
      <c r="G24" s="1809"/>
      <c r="H24" s="1809"/>
      <c r="I24" s="1809"/>
      <c r="J24" s="1809"/>
      <c r="K24" s="1809"/>
      <c r="L24" s="1809"/>
      <c r="M24" s="1809"/>
      <c r="N24" s="1809"/>
      <c r="O24" s="1809"/>
      <c r="P24" s="1810"/>
      <c r="Q24" s="434"/>
      <c r="R24" s="434"/>
      <c r="S24" s="434"/>
      <c r="T24" s="435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7"/>
      <c r="EW24" s="437"/>
      <c r="EX24" s="437"/>
    </row>
    <row r="25" spans="1:154" s="403" customFormat="1" ht="15.75" customHeight="1">
      <c r="A25" s="943" t="s">
        <v>343</v>
      </c>
      <c r="B25" s="1803">
        <f>93191003-18638201</f>
        <v>74552802</v>
      </c>
      <c r="C25" s="1804"/>
      <c r="D25" s="1808">
        <f>94360709.57-18872146.41</f>
        <v>75488563.16</v>
      </c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10"/>
      <c r="Q25" s="434"/>
      <c r="R25" s="434"/>
      <c r="S25" s="434"/>
      <c r="T25" s="435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7"/>
      <c r="DA25" s="437"/>
      <c r="DB25" s="437"/>
      <c r="DC25" s="437"/>
      <c r="DD25" s="437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7"/>
      <c r="DQ25" s="437"/>
      <c r="DR25" s="437"/>
      <c r="DS25" s="437"/>
      <c r="DT25" s="437"/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/>
      <c r="EN25" s="437"/>
      <c r="EO25" s="437"/>
      <c r="EP25" s="437"/>
      <c r="EQ25" s="437"/>
      <c r="ER25" s="437"/>
      <c r="ES25" s="437"/>
      <c r="ET25" s="437"/>
      <c r="EU25" s="437"/>
      <c r="EV25" s="437"/>
      <c r="EW25" s="437"/>
      <c r="EX25" s="437"/>
    </row>
    <row r="26" spans="1:154" s="403" customFormat="1" ht="15.75" customHeight="1">
      <c r="A26" s="943" t="s">
        <v>342</v>
      </c>
      <c r="B26" s="1803">
        <f>4179-836</f>
        <v>3343</v>
      </c>
      <c r="C26" s="1804"/>
      <c r="D26" s="1808">
        <f>12036.35-2407.21</f>
        <v>9629.14</v>
      </c>
      <c r="E26" s="1809"/>
      <c r="F26" s="1809"/>
      <c r="G26" s="1809"/>
      <c r="H26" s="1809"/>
      <c r="I26" s="1809"/>
      <c r="J26" s="1809"/>
      <c r="K26" s="1809"/>
      <c r="L26" s="1809"/>
      <c r="M26" s="1809"/>
      <c r="N26" s="1809"/>
      <c r="O26" s="1809"/>
      <c r="P26" s="1810"/>
      <c r="Q26" s="434"/>
      <c r="R26" s="434"/>
      <c r="S26" s="434"/>
      <c r="T26" s="435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</row>
    <row r="27" spans="1:154" s="403" customFormat="1" ht="15.75" customHeight="1">
      <c r="A27" s="943" t="s">
        <v>547</v>
      </c>
      <c r="B27" s="1803">
        <f>2807604-561521</f>
        <v>2246083</v>
      </c>
      <c r="C27" s="1804"/>
      <c r="D27" s="1808">
        <v>0</v>
      </c>
      <c r="E27" s="1809"/>
      <c r="F27" s="1809"/>
      <c r="G27" s="1809"/>
      <c r="H27" s="1809"/>
      <c r="I27" s="1809"/>
      <c r="J27" s="1809"/>
      <c r="K27" s="1809"/>
      <c r="L27" s="1809"/>
      <c r="M27" s="1809"/>
      <c r="N27" s="1809"/>
      <c r="O27" s="1809"/>
      <c r="P27" s="1810"/>
      <c r="Q27" s="434"/>
      <c r="R27" s="434"/>
      <c r="S27" s="434"/>
      <c r="T27" s="435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</row>
    <row r="28" spans="1:154" s="403" customFormat="1" ht="15.75" customHeight="1">
      <c r="A28" s="943" t="s">
        <v>548</v>
      </c>
      <c r="B28" s="1803">
        <f>8069541-1613908</f>
        <v>6455633</v>
      </c>
      <c r="C28" s="1804"/>
      <c r="D28" s="1808">
        <f>5841516.77-1168303.35</f>
        <v>4673213.42</v>
      </c>
      <c r="E28" s="1809"/>
      <c r="F28" s="1809"/>
      <c r="G28" s="1809"/>
      <c r="H28" s="1809"/>
      <c r="I28" s="1809"/>
      <c r="J28" s="1809"/>
      <c r="K28" s="1809"/>
      <c r="L28" s="1809"/>
      <c r="M28" s="1809"/>
      <c r="N28" s="1809"/>
      <c r="O28" s="1809"/>
      <c r="P28" s="1810"/>
      <c r="Q28" s="434"/>
      <c r="R28" s="434"/>
      <c r="S28" s="434"/>
      <c r="T28" s="435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/>
      <c r="CX28" s="437"/>
      <c r="CY28" s="437"/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</row>
    <row r="29" spans="1:154" s="414" customFormat="1" ht="15.75" customHeight="1">
      <c r="A29" s="943" t="s">
        <v>549</v>
      </c>
      <c r="B29" s="1803">
        <v>369753368.53</v>
      </c>
      <c r="C29" s="1804"/>
      <c r="D29" s="1808">
        <v>396290375.05</v>
      </c>
      <c r="E29" s="1809"/>
      <c r="F29" s="1809"/>
      <c r="G29" s="1809"/>
      <c r="H29" s="1809"/>
      <c r="I29" s="1809"/>
      <c r="J29" s="1809"/>
      <c r="K29" s="1809"/>
      <c r="L29" s="1809"/>
      <c r="M29" s="1809"/>
      <c r="N29" s="1809"/>
      <c r="O29" s="1809"/>
      <c r="P29" s="1810"/>
      <c r="Q29" s="434"/>
      <c r="R29" s="434"/>
      <c r="S29" s="434"/>
      <c r="T29" s="435"/>
      <c r="U29" s="440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/>
      <c r="CX29" s="437"/>
      <c r="CY29" s="437"/>
      <c r="CZ29" s="437"/>
      <c r="DA29" s="437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</row>
    <row r="30" spans="1:154" s="438" customFormat="1" ht="15.75" customHeight="1">
      <c r="A30" s="943" t="s">
        <v>550</v>
      </c>
      <c r="B30" s="1803">
        <f>2391550683.55-1371697410.18-240620327</f>
        <v>779232946.3700001</v>
      </c>
      <c r="C30" s="1804"/>
      <c r="D30" s="1818">
        <f>2445292417.21-1401739331.75-251362238.19</f>
        <v>792190847.27</v>
      </c>
      <c r="E30" s="1593"/>
      <c r="F30" s="1593"/>
      <c r="G30" s="1593"/>
      <c r="H30" s="1593"/>
      <c r="I30" s="1593"/>
      <c r="J30" s="1593"/>
      <c r="K30" s="1593"/>
      <c r="L30" s="1593"/>
      <c r="M30" s="1593"/>
      <c r="N30" s="1593"/>
      <c r="O30" s="1593"/>
      <c r="P30" s="1819"/>
      <c r="Q30" s="434"/>
      <c r="R30" s="434"/>
      <c r="S30" s="434"/>
      <c r="T30" s="439"/>
      <c r="U30" s="447"/>
      <c r="V30" s="44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/>
      <c r="CX30" s="437"/>
      <c r="CY30" s="437"/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7"/>
      <c r="EW30" s="437"/>
      <c r="EX30" s="437"/>
    </row>
    <row r="31" spans="1:154" s="445" customFormat="1" ht="15.75" customHeight="1">
      <c r="A31" s="941" t="s">
        <v>170</v>
      </c>
      <c r="B31" s="1829">
        <f>B32+B33</f>
        <v>166200739.73</v>
      </c>
      <c r="C31" s="1830"/>
      <c r="D31" s="1815">
        <f>D32+D33</f>
        <v>42058919.239999995</v>
      </c>
      <c r="E31" s="1816"/>
      <c r="F31" s="1816"/>
      <c r="G31" s="1816"/>
      <c r="H31" s="1816"/>
      <c r="I31" s="1816"/>
      <c r="J31" s="1816"/>
      <c r="K31" s="1816"/>
      <c r="L31" s="1816"/>
      <c r="M31" s="1816"/>
      <c r="N31" s="1816"/>
      <c r="O31" s="1816"/>
      <c r="P31" s="1817"/>
      <c r="Q31" s="442"/>
      <c r="R31" s="442"/>
      <c r="S31" s="442"/>
      <c r="T31" s="448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3"/>
      <c r="DA31" s="443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3"/>
      <c r="DX31" s="443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3"/>
      <c r="EJ31" s="443"/>
      <c r="EK31" s="443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3"/>
      <c r="EW31" s="443"/>
      <c r="EX31" s="443"/>
    </row>
    <row r="32" spans="1:154" s="403" customFormat="1" ht="15.75" customHeight="1">
      <c r="A32" s="942" t="s">
        <v>551</v>
      </c>
      <c r="B32" s="1803">
        <v>13674624</v>
      </c>
      <c r="C32" s="1804"/>
      <c r="D32" s="1808">
        <v>13201196.57</v>
      </c>
      <c r="E32" s="1809"/>
      <c r="F32" s="1809"/>
      <c r="G32" s="1809"/>
      <c r="H32" s="1809"/>
      <c r="I32" s="1809"/>
      <c r="J32" s="1809"/>
      <c r="K32" s="1809"/>
      <c r="L32" s="1809"/>
      <c r="M32" s="1809"/>
      <c r="N32" s="1809"/>
      <c r="O32" s="1809"/>
      <c r="P32" s="1810"/>
      <c r="Q32" s="434"/>
      <c r="R32" s="434"/>
      <c r="S32" s="434"/>
      <c r="T32" s="434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/>
      <c r="CX32" s="437"/>
      <c r="CY32" s="437"/>
      <c r="CZ32" s="437"/>
      <c r="DA32" s="437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</row>
    <row r="33" spans="1:154" s="403" customFormat="1" ht="15.75" customHeight="1">
      <c r="A33" s="944" t="s">
        <v>552</v>
      </c>
      <c r="B33" s="1852">
        <f>152098438.73+427677</f>
        <v>152526115.73</v>
      </c>
      <c r="C33" s="1804"/>
      <c r="D33" s="1808">
        <f>4814506.2+24043216.47</f>
        <v>28857722.669999998</v>
      </c>
      <c r="E33" s="1809"/>
      <c r="F33" s="1809"/>
      <c r="G33" s="1809"/>
      <c r="H33" s="1809"/>
      <c r="I33" s="1809"/>
      <c r="J33" s="1809"/>
      <c r="K33" s="1809"/>
      <c r="L33" s="1809"/>
      <c r="M33" s="1809"/>
      <c r="N33" s="1809"/>
      <c r="O33" s="1809"/>
      <c r="P33" s="1810"/>
      <c r="Q33" s="434"/>
      <c r="R33" s="434"/>
      <c r="S33" s="434"/>
      <c r="T33" s="435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/>
      <c r="CX33" s="437"/>
      <c r="CY33" s="437"/>
      <c r="CZ33" s="437"/>
      <c r="DA33" s="437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/>
      <c r="DV33" s="437"/>
      <c r="DW33" s="437"/>
      <c r="DX33" s="437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7"/>
      <c r="EW33" s="437"/>
      <c r="EX33" s="437"/>
    </row>
    <row r="34" spans="1:154" s="403" customFormat="1" ht="15.75" customHeight="1">
      <c r="A34" s="945" t="s">
        <v>553</v>
      </c>
      <c r="B34" s="1827">
        <f>B11-B20-B32</f>
        <v>3465743558.28</v>
      </c>
      <c r="C34" s="1828"/>
      <c r="D34" s="1815">
        <f>D11-D20-D32</f>
        <v>3288289610.4599996</v>
      </c>
      <c r="E34" s="1816"/>
      <c r="F34" s="1816"/>
      <c r="G34" s="1816"/>
      <c r="H34" s="1816"/>
      <c r="I34" s="1816"/>
      <c r="J34" s="1816"/>
      <c r="K34" s="1816"/>
      <c r="L34" s="1816"/>
      <c r="M34" s="1816"/>
      <c r="N34" s="1816"/>
      <c r="O34" s="1816"/>
      <c r="P34" s="1817"/>
      <c r="Q34" s="434"/>
      <c r="R34" s="434"/>
      <c r="S34" s="434"/>
      <c r="T34" s="435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/>
      <c r="CX34" s="437"/>
      <c r="CY34" s="437"/>
      <c r="CZ34" s="437"/>
      <c r="DA34" s="437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7"/>
      <c r="EW34" s="437"/>
      <c r="EX34" s="437"/>
    </row>
    <row r="35" spans="1:154" s="403" customFormat="1" ht="15.75" customHeight="1">
      <c r="A35" s="945" t="s">
        <v>554</v>
      </c>
      <c r="B35" s="1829">
        <f>B36+B37+B38+B42+B45</f>
        <v>239074125.21</v>
      </c>
      <c r="C35" s="1830"/>
      <c r="D35" s="1815">
        <f>D36+D37+D38+D42+D45</f>
        <v>234142387.62</v>
      </c>
      <c r="E35" s="1816"/>
      <c r="F35" s="1816"/>
      <c r="G35" s="1816"/>
      <c r="H35" s="1816"/>
      <c r="I35" s="1816"/>
      <c r="J35" s="1816"/>
      <c r="K35" s="1816"/>
      <c r="L35" s="1816"/>
      <c r="M35" s="1816"/>
      <c r="N35" s="1816"/>
      <c r="O35" s="1816"/>
      <c r="P35" s="1817"/>
      <c r="Q35" s="434"/>
      <c r="R35" s="434"/>
      <c r="S35" s="434"/>
      <c r="T35" s="449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/>
      <c r="CU35" s="437"/>
      <c r="CV35" s="437"/>
      <c r="CW35" s="437"/>
      <c r="CX35" s="437"/>
      <c r="CY35" s="437"/>
      <c r="CZ35" s="437"/>
      <c r="DA35" s="437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7"/>
      <c r="DX35" s="437"/>
      <c r="DY35" s="437"/>
      <c r="DZ35" s="437"/>
      <c r="EA35" s="437"/>
      <c r="EB35" s="437"/>
      <c r="EC35" s="437"/>
      <c r="ED35" s="437"/>
      <c r="EE35" s="437"/>
      <c r="EF35" s="437"/>
      <c r="EG35" s="437"/>
      <c r="EH35" s="437"/>
      <c r="EI35" s="437"/>
      <c r="EJ35" s="437"/>
      <c r="EK35" s="437"/>
      <c r="EL35" s="437"/>
      <c r="EM35" s="437"/>
      <c r="EN35" s="437"/>
      <c r="EO35" s="437"/>
      <c r="EP35" s="437"/>
      <c r="EQ35" s="437"/>
      <c r="ER35" s="437"/>
      <c r="ES35" s="437"/>
      <c r="ET35" s="437"/>
      <c r="EU35" s="437"/>
      <c r="EV35" s="437"/>
      <c r="EW35" s="437"/>
      <c r="EX35" s="437"/>
    </row>
    <row r="36" spans="1:154" s="403" customFormat="1" ht="15.75" customHeight="1">
      <c r="A36" s="946" t="s">
        <v>555</v>
      </c>
      <c r="B36" s="1803">
        <v>238957920.21</v>
      </c>
      <c r="C36" s="1804"/>
      <c r="D36" s="1808">
        <v>234142387.62</v>
      </c>
      <c r="E36" s="1809"/>
      <c r="F36" s="1809"/>
      <c r="G36" s="1809"/>
      <c r="H36" s="1809"/>
      <c r="I36" s="1809"/>
      <c r="J36" s="1809"/>
      <c r="K36" s="1809"/>
      <c r="L36" s="1809"/>
      <c r="M36" s="1809"/>
      <c r="N36" s="1809"/>
      <c r="O36" s="1809"/>
      <c r="P36" s="1810"/>
      <c r="Q36" s="434"/>
      <c r="R36" s="449"/>
      <c r="S36" s="434"/>
      <c r="T36" s="449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/>
      <c r="CX36" s="437"/>
      <c r="CY36" s="437"/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7"/>
      <c r="EU36" s="437"/>
      <c r="EV36" s="437"/>
      <c r="EW36" s="437"/>
      <c r="EX36" s="437"/>
    </row>
    <row r="37" spans="1:154" s="403" customFormat="1" ht="15.75" customHeight="1">
      <c r="A37" s="946" t="s">
        <v>556</v>
      </c>
      <c r="B37" s="1853"/>
      <c r="C37" s="1854"/>
      <c r="D37" s="1808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434"/>
      <c r="R37" s="434"/>
      <c r="S37" s="434"/>
      <c r="T37" s="434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/>
      <c r="CX37" s="437"/>
      <c r="CY37" s="437"/>
      <c r="CZ37" s="437"/>
      <c r="DA37" s="437"/>
      <c r="DB37" s="437"/>
      <c r="DC37" s="437"/>
      <c r="DD37" s="437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</row>
    <row r="38" spans="1:154" s="445" customFormat="1" ht="15.75" customHeight="1">
      <c r="A38" s="947" t="s">
        <v>557</v>
      </c>
      <c r="B38" s="1829">
        <f>B39+B40+B41</f>
        <v>116205</v>
      </c>
      <c r="C38" s="1830"/>
      <c r="D38" s="1815">
        <f>D39+D40+D41</f>
        <v>0</v>
      </c>
      <c r="E38" s="1816"/>
      <c r="F38" s="1816"/>
      <c r="G38" s="1816"/>
      <c r="H38" s="1816"/>
      <c r="I38" s="1816"/>
      <c r="J38" s="1816"/>
      <c r="K38" s="1816"/>
      <c r="L38" s="1816"/>
      <c r="M38" s="1816"/>
      <c r="N38" s="1816"/>
      <c r="O38" s="1816"/>
      <c r="P38" s="1817"/>
      <c r="Q38" s="442"/>
      <c r="R38" s="442"/>
      <c r="S38" s="442"/>
      <c r="T38" s="442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43"/>
      <c r="CO38" s="443"/>
      <c r="CP38" s="443"/>
      <c r="CQ38" s="443"/>
      <c r="CR38" s="443"/>
      <c r="CS38" s="443"/>
      <c r="CT38" s="443"/>
      <c r="CU38" s="443"/>
      <c r="CV38" s="443"/>
      <c r="CW38" s="443"/>
      <c r="CX38" s="443"/>
      <c r="CY38" s="443"/>
      <c r="CZ38" s="443"/>
      <c r="DA38" s="443"/>
      <c r="DB38" s="443"/>
      <c r="DC38" s="443"/>
      <c r="DD38" s="443"/>
      <c r="DE38" s="443"/>
      <c r="DF38" s="443"/>
      <c r="DG38" s="443"/>
      <c r="DH38" s="443"/>
      <c r="DI38" s="443"/>
      <c r="DJ38" s="443"/>
      <c r="DK38" s="443"/>
      <c r="DL38" s="443"/>
      <c r="DM38" s="443"/>
      <c r="DN38" s="443"/>
      <c r="DO38" s="443"/>
      <c r="DP38" s="443"/>
      <c r="DQ38" s="443"/>
      <c r="DR38" s="443"/>
      <c r="DS38" s="443"/>
      <c r="DT38" s="443"/>
      <c r="DU38" s="443"/>
      <c r="DV38" s="443"/>
      <c r="DW38" s="443"/>
      <c r="DX38" s="443"/>
      <c r="DY38" s="443"/>
      <c r="DZ38" s="443"/>
      <c r="EA38" s="443"/>
      <c r="EB38" s="443"/>
      <c r="EC38" s="443"/>
      <c r="ED38" s="443"/>
      <c r="EE38" s="443"/>
      <c r="EF38" s="443"/>
      <c r="EG38" s="443"/>
      <c r="EH38" s="443"/>
      <c r="EI38" s="443"/>
      <c r="EJ38" s="443"/>
      <c r="EK38" s="443"/>
      <c r="EL38" s="443"/>
      <c r="EM38" s="443"/>
      <c r="EN38" s="443"/>
      <c r="EO38" s="443"/>
      <c r="EP38" s="443"/>
      <c r="EQ38" s="443"/>
      <c r="ER38" s="443"/>
      <c r="ES38" s="443"/>
      <c r="ET38" s="443"/>
      <c r="EU38" s="443"/>
      <c r="EV38" s="443"/>
      <c r="EW38" s="443"/>
      <c r="EX38" s="443"/>
    </row>
    <row r="39" spans="1:154" s="445" customFormat="1" ht="15.75" customHeight="1">
      <c r="A39" s="946" t="s">
        <v>558</v>
      </c>
      <c r="B39" s="1803">
        <v>65208</v>
      </c>
      <c r="C39" s="1804"/>
      <c r="D39" s="1808">
        <v>0</v>
      </c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442"/>
      <c r="R39" s="442"/>
      <c r="S39" s="442"/>
      <c r="T39" s="442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43"/>
      <c r="DV39" s="443"/>
      <c r="DW39" s="443"/>
      <c r="DX39" s="443"/>
      <c r="DY39" s="443"/>
      <c r="DZ39" s="443"/>
      <c r="EA39" s="443"/>
      <c r="EB39" s="443"/>
      <c r="EC39" s="443"/>
      <c r="ED39" s="443"/>
      <c r="EE39" s="443"/>
      <c r="EF39" s="443"/>
      <c r="EG39" s="443"/>
      <c r="EH39" s="443"/>
      <c r="EI39" s="443"/>
      <c r="EJ39" s="443"/>
      <c r="EK39" s="443"/>
      <c r="EL39" s="443"/>
      <c r="EM39" s="443"/>
      <c r="EN39" s="443"/>
      <c r="EO39" s="443"/>
      <c r="EP39" s="443"/>
      <c r="EQ39" s="443"/>
      <c r="ER39" s="443"/>
      <c r="ES39" s="443"/>
      <c r="ET39" s="443"/>
      <c r="EU39" s="443"/>
      <c r="EV39" s="443"/>
      <c r="EW39" s="443"/>
      <c r="EX39" s="443"/>
    </row>
    <row r="40" spans="1:154" s="445" customFormat="1" ht="15.75" customHeight="1">
      <c r="A40" s="946" t="s">
        <v>559</v>
      </c>
      <c r="B40" s="1803">
        <v>50997</v>
      </c>
      <c r="C40" s="1805"/>
      <c r="D40" s="1808">
        <v>0</v>
      </c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442"/>
      <c r="R40" s="442"/>
      <c r="S40" s="442"/>
      <c r="T40" s="442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  <c r="CG40" s="443"/>
      <c r="CH40" s="443"/>
      <c r="CI40" s="443"/>
      <c r="CJ40" s="443"/>
      <c r="CK40" s="443"/>
      <c r="CL40" s="443"/>
      <c r="CM40" s="443"/>
      <c r="CN40" s="443"/>
      <c r="CO40" s="443"/>
      <c r="CP40" s="443"/>
      <c r="CQ40" s="443"/>
      <c r="CR40" s="443"/>
      <c r="CS40" s="443"/>
      <c r="CT40" s="443"/>
      <c r="CU40" s="443"/>
      <c r="CV40" s="443"/>
      <c r="CW40" s="443"/>
      <c r="CX40" s="443"/>
      <c r="CY40" s="443"/>
      <c r="CZ40" s="443"/>
      <c r="DA40" s="443"/>
      <c r="DB40" s="443"/>
      <c r="DC40" s="443"/>
      <c r="DD40" s="443"/>
      <c r="DE40" s="443"/>
      <c r="DF40" s="443"/>
      <c r="DG40" s="443"/>
      <c r="DH40" s="443"/>
      <c r="DI40" s="443"/>
      <c r="DJ40" s="443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43"/>
      <c r="DV40" s="443"/>
      <c r="DW40" s="443"/>
      <c r="DX40" s="443"/>
      <c r="DY40" s="443"/>
      <c r="DZ40" s="443"/>
      <c r="EA40" s="443"/>
      <c r="EB40" s="443"/>
      <c r="EC40" s="443"/>
      <c r="ED40" s="443"/>
      <c r="EE40" s="443"/>
      <c r="EF40" s="443"/>
      <c r="EG40" s="443"/>
      <c r="EH40" s="443"/>
      <c r="EI40" s="443"/>
      <c r="EJ40" s="443"/>
      <c r="EK40" s="443"/>
      <c r="EL40" s="443"/>
      <c r="EM40" s="443"/>
      <c r="EN40" s="443"/>
      <c r="EO40" s="443"/>
      <c r="EP40" s="443"/>
      <c r="EQ40" s="443"/>
      <c r="ER40" s="443"/>
      <c r="ES40" s="443"/>
      <c r="ET40" s="443"/>
      <c r="EU40" s="443"/>
      <c r="EV40" s="443"/>
      <c r="EW40" s="443"/>
      <c r="EX40" s="443"/>
    </row>
    <row r="41" spans="1:154" s="445" customFormat="1" ht="15.75" customHeight="1">
      <c r="A41" s="946" t="s">
        <v>560</v>
      </c>
      <c r="B41" s="1806"/>
      <c r="C41" s="1807"/>
      <c r="D41" s="1808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442"/>
      <c r="R41" s="442"/>
      <c r="S41" s="442"/>
      <c r="T41" s="442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43"/>
      <c r="DV41" s="443"/>
      <c r="DW41" s="443"/>
      <c r="DX41" s="443"/>
      <c r="DY41" s="443"/>
      <c r="DZ41" s="443"/>
      <c r="EA41" s="443"/>
      <c r="EB41" s="443"/>
      <c r="EC41" s="443"/>
      <c r="ED41" s="443"/>
      <c r="EE41" s="443"/>
      <c r="EF41" s="443"/>
      <c r="EG41" s="443"/>
      <c r="EH41" s="443"/>
      <c r="EI41" s="443"/>
      <c r="EJ41" s="443"/>
      <c r="EK41" s="443"/>
      <c r="EL41" s="443"/>
      <c r="EM41" s="443"/>
      <c r="EN41" s="443"/>
      <c r="EO41" s="443"/>
      <c r="EP41" s="443"/>
      <c r="EQ41" s="443"/>
      <c r="ER41" s="443"/>
      <c r="ES41" s="443"/>
      <c r="ET41" s="443"/>
      <c r="EU41" s="443"/>
      <c r="EV41" s="443"/>
      <c r="EW41" s="443"/>
      <c r="EX41" s="443"/>
    </row>
    <row r="42" spans="1:20" s="445" customFormat="1" ht="15.75" customHeight="1">
      <c r="A42" s="947" t="s">
        <v>171</v>
      </c>
      <c r="B42" s="1829">
        <f>B43+B44</f>
        <v>0</v>
      </c>
      <c r="C42" s="1830"/>
      <c r="D42" s="1861">
        <f>D43+D44</f>
        <v>0</v>
      </c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3"/>
      <c r="Q42" s="416"/>
      <c r="R42" s="416"/>
      <c r="S42" s="416"/>
      <c r="T42" s="416"/>
    </row>
    <row r="43" spans="1:20" s="403" customFormat="1" ht="15.75" customHeight="1">
      <c r="A43" s="944" t="s">
        <v>172</v>
      </c>
      <c r="B43" s="1803"/>
      <c r="C43" s="1804"/>
      <c r="D43" s="1808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415"/>
      <c r="R43" s="415"/>
      <c r="S43" s="415"/>
      <c r="T43" s="415"/>
    </row>
    <row r="44" spans="1:20" s="403" customFormat="1" ht="15.75" customHeight="1">
      <c r="A44" s="944" t="s">
        <v>173</v>
      </c>
      <c r="B44" s="1847"/>
      <c r="C44" s="1848"/>
      <c r="D44" s="1808">
        <f>'Anexo 1 _ BAL ORC'!G46</f>
        <v>0</v>
      </c>
      <c r="E44" s="1809"/>
      <c r="F44" s="1809"/>
      <c r="G44" s="1809"/>
      <c r="H44" s="1809"/>
      <c r="I44" s="1809"/>
      <c r="J44" s="1809"/>
      <c r="K44" s="1809"/>
      <c r="L44" s="1809"/>
      <c r="M44" s="1809"/>
      <c r="N44" s="1809"/>
      <c r="O44" s="1809"/>
      <c r="P44" s="1810"/>
      <c r="Q44" s="415"/>
      <c r="R44" s="415"/>
      <c r="S44" s="415"/>
      <c r="T44" s="433"/>
    </row>
    <row r="45" spans="1:20" s="403" customFormat="1" ht="15.75" customHeight="1">
      <c r="A45" s="947" t="s">
        <v>149</v>
      </c>
      <c r="B45" s="1849">
        <f>B46+B47</f>
        <v>0</v>
      </c>
      <c r="C45" s="1850"/>
      <c r="D45" s="1808">
        <f>D46+D47</f>
        <v>0</v>
      </c>
      <c r="E45" s="1809"/>
      <c r="F45" s="1809"/>
      <c r="G45" s="1809"/>
      <c r="H45" s="1809"/>
      <c r="I45" s="1809"/>
      <c r="J45" s="1809"/>
      <c r="K45" s="1809"/>
      <c r="L45" s="1809"/>
      <c r="M45" s="1809"/>
      <c r="N45" s="1809"/>
      <c r="O45" s="1809"/>
      <c r="P45" s="1810"/>
      <c r="Q45" s="415"/>
      <c r="R45" s="415"/>
      <c r="S45" s="415"/>
      <c r="T45" s="415"/>
    </row>
    <row r="46" spans="1:20" s="403" customFormat="1" ht="15.75" customHeight="1">
      <c r="A46" s="946" t="s">
        <v>562</v>
      </c>
      <c r="B46" s="1811"/>
      <c r="C46" s="1812"/>
      <c r="D46" s="1809"/>
      <c r="E46" s="1809"/>
      <c r="F46" s="1809"/>
      <c r="G46" s="1809"/>
      <c r="H46" s="1809"/>
      <c r="I46" s="1809"/>
      <c r="J46" s="1809"/>
      <c r="K46" s="1809"/>
      <c r="L46" s="1809"/>
      <c r="M46" s="1809"/>
      <c r="N46" s="1809"/>
      <c r="O46" s="1809"/>
      <c r="P46" s="1810"/>
      <c r="Q46" s="415"/>
      <c r="R46" s="415"/>
      <c r="S46" s="415"/>
      <c r="T46" s="415"/>
    </row>
    <row r="47" spans="1:20" s="403" customFormat="1" ht="15.75" customHeight="1">
      <c r="A47" s="946" t="s">
        <v>561</v>
      </c>
      <c r="B47" s="1813"/>
      <c r="C47" s="1814"/>
      <c r="D47" s="1845"/>
      <c r="E47" s="1845"/>
      <c r="F47" s="1845"/>
      <c r="G47" s="1845"/>
      <c r="H47" s="1845"/>
      <c r="I47" s="1845"/>
      <c r="J47" s="1845"/>
      <c r="K47" s="1845"/>
      <c r="L47" s="1845"/>
      <c r="M47" s="1845"/>
      <c r="N47" s="1845"/>
      <c r="O47" s="1845"/>
      <c r="P47" s="1846"/>
      <c r="Q47" s="415"/>
      <c r="R47" s="415"/>
      <c r="S47" s="415"/>
      <c r="T47" s="415"/>
    </row>
    <row r="48" spans="1:20" s="403" customFormat="1" ht="15.75" customHeight="1">
      <c r="A48" s="948" t="s">
        <v>935</v>
      </c>
      <c r="B48" s="1851">
        <f>B35-B36-B37-B39-B40-B46</f>
        <v>0</v>
      </c>
      <c r="C48" s="1851"/>
      <c r="D48" s="1799">
        <f>D35-D36-D37-D38</f>
        <v>0</v>
      </c>
      <c r="E48" s="1799"/>
      <c r="F48" s="1799"/>
      <c r="G48" s="1799"/>
      <c r="H48" s="1799"/>
      <c r="I48" s="1799"/>
      <c r="J48" s="1799"/>
      <c r="K48" s="1799"/>
      <c r="L48" s="1799"/>
      <c r="M48" s="1799"/>
      <c r="N48" s="1799"/>
      <c r="O48" s="1799"/>
      <c r="P48" s="1799"/>
      <c r="Q48" s="415"/>
      <c r="R48" s="415"/>
      <c r="S48" s="415"/>
      <c r="T48" s="415"/>
    </row>
    <row r="49" spans="1:20" s="403" customFormat="1" ht="15.75" customHeight="1">
      <c r="A49" s="949" t="s">
        <v>624</v>
      </c>
      <c r="B49" s="1843">
        <f>B34+B48</f>
        <v>3465743558.28</v>
      </c>
      <c r="C49" s="1844"/>
      <c r="D49" s="1800">
        <f>D34+D48</f>
        <v>3288289610.4599996</v>
      </c>
      <c r="E49" s="1801"/>
      <c r="F49" s="1801"/>
      <c r="G49" s="1801"/>
      <c r="H49" s="1801"/>
      <c r="I49" s="1801"/>
      <c r="J49" s="1801"/>
      <c r="K49" s="1801"/>
      <c r="L49" s="1801"/>
      <c r="M49" s="1801"/>
      <c r="N49" s="1801"/>
      <c r="O49" s="1801"/>
      <c r="P49" s="1802"/>
      <c r="Q49" s="415"/>
      <c r="R49" s="415"/>
      <c r="S49" s="415"/>
      <c r="T49" s="430"/>
    </row>
    <row r="50" spans="1:16" ht="21.75" customHeight="1">
      <c r="A50" s="1831" t="s">
        <v>726</v>
      </c>
      <c r="B50" s="1834" t="s">
        <v>229</v>
      </c>
      <c r="C50" s="1791" t="s">
        <v>923</v>
      </c>
      <c r="D50" s="1792"/>
      <c r="E50" s="1792"/>
      <c r="F50" s="1792"/>
      <c r="G50" s="1792"/>
      <c r="H50" s="1792"/>
      <c r="I50" s="1792"/>
      <c r="J50" s="1792"/>
      <c r="K50" s="1792"/>
      <c r="L50" s="1792"/>
      <c r="M50" s="1792"/>
      <c r="N50" s="1792"/>
      <c r="O50" s="1792"/>
      <c r="P50" s="1793"/>
    </row>
    <row r="51" spans="1:16" ht="21.75" customHeight="1">
      <c r="A51" s="1832"/>
      <c r="B51" s="1835"/>
      <c r="C51" s="1794" t="s">
        <v>324</v>
      </c>
      <c r="D51" s="1794" t="s">
        <v>160</v>
      </c>
      <c r="E51" s="1794" t="s">
        <v>627</v>
      </c>
      <c r="F51" s="1145"/>
      <c r="G51" s="1145"/>
      <c r="H51" s="1145"/>
      <c r="I51" s="1145"/>
      <c r="J51" s="1145"/>
      <c r="K51" s="1145"/>
      <c r="L51" s="1145"/>
      <c r="M51" s="1145"/>
      <c r="N51" s="1794" t="s">
        <v>628</v>
      </c>
      <c r="O51" s="1795" t="s">
        <v>630</v>
      </c>
      <c r="P51" s="1793"/>
    </row>
    <row r="52" spans="1:16" ht="42" customHeight="1">
      <c r="A52" s="1833"/>
      <c r="B52" s="1836"/>
      <c r="C52" s="1794"/>
      <c r="D52" s="1794"/>
      <c r="E52" s="1794"/>
      <c r="F52" s="1144"/>
      <c r="G52" s="1144"/>
      <c r="H52" s="1144"/>
      <c r="I52" s="1144"/>
      <c r="J52" s="1144"/>
      <c r="K52" s="1144"/>
      <c r="L52" s="1144"/>
      <c r="M52" s="1144"/>
      <c r="N52" s="1794"/>
      <c r="O52" s="1143" t="s">
        <v>629</v>
      </c>
      <c r="P52" s="1143" t="s">
        <v>1007</v>
      </c>
    </row>
    <row r="53" spans="1:21" ht="15.75" customHeight="1">
      <c r="A53" s="950" t="s">
        <v>625</v>
      </c>
      <c r="B53" s="399">
        <f>B54+B55+B56</f>
        <v>3203005486.2500005</v>
      </c>
      <c r="C53" s="399">
        <f>C54+C55+C56</f>
        <v>2914854723.8999996</v>
      </c>
      <c r="D53" s="400">
        <f>D54+D55+D56</f>
        <v>2753027471.6099997</v>
      </c>
      <c r="E53" s="401">
        <f>E54+E55+E56</f>
        <v>2670803119.56</v>
      </c>
      <c r="F53" s="402"/>
      <c r="G53" s="415"/>
      <c r="H53" s="415"/>
      <c r="I53" s="415"/>
      <c r="J53" s="415"/>
      <c r="K53" s="415"/>
      <c r="L53" s="415"/>
      <c r="M53" s="415"/>
      <c r="N53" s="404">
        <f>N54+N55+N56</f>
        <v>134239642.6</v>
      </c>
      <c r="O53" s="404">
        <f>O54+O55+O56</f>
        <v>78241310.30000001</v>
      </c>
      <c r="P53" s="938">
        <f>P54+P55+P56</f>
        <v>76264573.87</v>
      </c>
      <c r="T53" s="397"/>
      <c r="U53" s="66"/>
    </row>
    <row r="54" spans="1:20" ht="15.75" customHeight="1">
      <c r="A54" s="946" t="s">
        <v>174</v>
      </c>
      <c r="B54" s="405">
        <f>'Anexo 1 _ BAL ORC'!C69</f>
        <v>1716149264.67</v>
      </c>
      <c r="C54" s="405">
        <f>'Anexo 1 _ BAL ORC'!E69</f>
        <v>1586214276.01</v>
      </c>
      <c r="D54" s="406">
        <f>'Anexo 1 _ BAL ORC'!H69</f>
        <v>1575629193.65</v>
      </c>
      <c r="E54" s="406">
        <f>'Anexo 1 _ BAL ORC'!J69</f>
        <v>1554962606.72</v>
      </c>
      <c r="F54" s="402"/>
      <c r="G54" s="415"/>
      <c r="H54" s="415"/>
      <c r="I54" s="415"/>
      <c r="J54" s="415"/>
      <c r="K54" s="415"/>
      <c r="L54" s="415"/>
      <c r="M54" s="415"/>
      <c r="N54" s="408">
        <f>69126.72+3981454.82+5685148.11+31679.25+56641.87+1187461.24+219196.74+114478.77+360571.05+1277585.11</f>
        <v>12983343.68</v>
      </c>
      <c r="O54" s="408">
        <f>8606546.38+3588522.2+44114.2+136339.14+287978.18</f>
        <v>12663500.100000001</v>
      </c>
      <c r="P54" s="406">
        <f>8606546.38+3588522.2+44114.2+151349.82+287978.18</f>
        <v>12678510.780000001</v>
      </c>
      <c r="T54" s="81"/>
    </row>
    <row r="55" spans="1:20" ht="15.75" customHeight="1">
      <c r="A55" s="946" t="s">
        <v>563</v>
      </c>
      <c r="B55" s="405">
        <f>'Anexo 1 _ BAL ORC'!C70</f>
        <v>31488218.15</v>
      </c>
      <c r="C55" s="405">
        <f>'Anexo 1 _ BAL ORC'!E70</f>
        <v>28756845.61</v>
      </c>
      <c r="D55" s="406">
        <f>'Anexo 1 _ BAL ORC'!H70</f>
        <v>28756845.61</v>
      </c>
      <c r="E55" s="406">
        <f>'Anexo 1 _ BAL ORC'!J70</f>
        <v>28756845.61</v>
      </c>
      <c r="F55" s="402"/>
      <c r="G55" s="415"/>
      <c r="H55" s="415"/>
      <c r="I55" s="415"/>
      <c r="J55" s="415"/>
      <c r="K55" s="415"/>
      <c r="L55" s="415"/>
      <c r="M55" s="415"/>
      <c r="N55" s="408">
        <v>0</v>
      </c>
      <c r="O55" s="408">
        <v>0</v>
      </c>
      <c r="P55" s="406">
        <v>0</v>
      </c>
      <c r="T55" s="81"/>
    </row>
    <row r="56" spans="1:20" s="935" customFormat="1" ht="15.75" customHeight="1">
      <c r="A56" s="947" t="s">
        <v>158</v>
      </c>
      <c r="B56" s="399">
        <f>B57+B58</f>
        <v>1455368003.4300003</v>
      </c>
      <c r="C56" s="399">
        <f aca="true" t="shared" si="0" ref="C56:M56">C57+C58</f>
        <v>1299883602.28</v>
      </c>
      <c r="D56" s="399">
        <f t="shared" si="0"/>
        <v>1148641432.35</v>
      </c>
      <c r="E56" s="399">
        <f t="shared" si="0"/>
        <v>1087083667.23</v>
      </c>
      <c r="F56" s="399">
        <f t="shared" si="0"/>
        <v>0</v>
      </c>
      <c r="G56" s="399">
        <f t="shared" si="0"/>
        <v>0</v>
      </c>
      <c r="H56" s="399">
        <f t="shared" si="0"/>
        <v>0</v>
      </c>
      <c r="I56" s="399">
        <f t="shared" si="0"/>
        <v>0</v>
      </c>
      <c r="J56" s="399">
        <f t="shared" si="0"/>
        <v>0</v>
      </c>
      <c r="K56" s="399">
        <f t="shared" si="0"/>
        <v>0</v>
      </c>
      <c r="L56" s="399">
        <f t="shared" si="0"/>
        <v>0</v>
      </c>
      <c r="M56" s="399">
        <f t="shared" si="0"/>
        <v>0</v>
      </c>
      <c r="N56" s="399">
        <f>N57+N58</f>
        <v>121256298.91999999</v>
      </c>
      <c r="O56" s="399">
        <f>O57+O58</f>
        <v>65577810.2</v>
      </c>
      <c r="P56" s="399">
        <f>P57+P58</f>
        <v>63586063.089999996</v>
      </c>
      <c r="Q56" s="926"/>
      <c r="R56" s="926"/>
      <c r="S56" s="926"/>
      <c r="T56" s="1396"/>
    </row>
    <row r="57" spans="1:20" ht="15.75" customHeight="1">
      <c r="A57" s="946" t="s">
        <v>676</v>
      </c>
      <c r="B57" s="405">
        <v>0</v>
      </c>
      <c r="C57" s="405">
        <v>0</v>
      </c>
      <c r="D57" s="408">
        <v>0</v>
      </c>
      <c r="E57" s="408">
        <v>0</v>
      </c>
      <c r="F57" s="415"/>
      <c r="G57" s="415"/>
      <c r="H57" s="415"/>
      <c r="I57" s="415"/>
      <c r="J57" s="415"/>
      <c r="K57" s="415"/>
      <c r="L57" s="415"/>
      <c r="M57" s="415"/>
      <c r="N57" s="408"/>
      <c r="O57" s="408"/>
      <c r="P57" s="406"/>
      <c r="T57" s="81"/>
    </row>
    <row r="58" spans="1:20" ht="15.75" customHeight="1">
      <c r="A58" s="946" t="s">
        <v>564</v>
      </c>
      <c r="B58" s="405">
        <f>'Anexo 1 _ BAL ORC'!C71</f>
        <v>1455368003.4300003</v>
      </c>
      <c r="C58" s="405">
        <f>'Anexo 1 _ BAL ORC'!E71</f>
        <v>1299883602.28</v>
      </c>
      <c r="D58" s="408">
        <f>'Anexo 1 _ BAL ORC'!H71</f>
        <v>1148641432.35</v>
      </c>
      <c r="E58" s="408">
        <f>'Anexo 1 _ BAL ORC'!J71</f>
        <v>1087083667.23</v>
      </c>
      <c r="F58" s="415"/>
      <c r="G58" s="415"/>
      <c r="H58" s="415"/>
      <c r="I58" s="415"/>
      <c r="J58" s="415"/>
      <c r="K58" s="415"/>
      <c r="L58" s="415"/>
      <c r="M58" s="415"/>
      <c r="N58" s="408">
        <f>500017+100000+1111146.99+19270+25251279.99+1253762.1+58005.86+94203.34+1076637.82+10671347.55+69525752.03+3020172.49+1495968.6+140527.38+242400+3663.72+6390216.77+301927.28</f>
        <v>121256298.91999999</v>
      </c>
      <c r="O58" s="408">
        <f>195736.6+2365828.6+90634.27+14841872.09+443915.2+6955.82+182641.69+1121793.48+42662931.72+1972614.77+554105.83+341985.53+26646.54+770148.06</f>
        <v>65577810.2</v>
      </c>
      <c r="P58" s="406">
        <f>195736.6+2015828.6+90634.27+15766905.61+1076260.31+6955.82+182641.69+1121793.48+39161087.42+1972614.77+550260.23+341406.83+333789.4+770148.06</f>
        <v>63586063.089999996</v>
      </c>
      <c r="T58" s="81"/>
    </row>
    <row r="59" spans="1:20" ht="15.75" customHeight="1">
      <c r="A59" s="950" t="s">
        <v>934</v>
      </c>
      <c r="B59" s="399">
        <f>B53-B55</f>
        <v>3171517268.1000004</v>
      </c>
      <c r="C59" s="399">
        <f aca="true" t="shared" si="1" ref="C59:O59">C53-C55</f>
        <v>2886097878.2899995</v>
      </c>
      <c r="D59" s="399">
        <f t="shared" si="1"/>
        <v>2724270625.9999995</v>
      </c>
      <c r="E59" s="399">
        <f t="shared" si="1"/>
        <v>2642046273.95</v>
      </c>
      <c r="F59" s="399">
        <f t="shared" si="1"/>
        <v>0</v>
      </c>
      <c r="G59" s="399">
        <f t="shared" si="1"/>
        <v>0</v>
      </c>
      <c r="H59" s="399">
        <f t="shared" si="1"/>
        <v>0</v>
      </c>
      <c r="I59" s="399">
        <f t="shared" si="1"/>
        <v>0</v>
      </c>
      <c r="J59" s="399">
        <f t="shared" si="1"/>
        <v>0</v>
      </c>
      <c r="K59" s="399">
        <f t="shared" si="1"/>
        <v>0</v>
      </c>
      <c r="L59" s="399">
        <f t="shared" si="1"/>
        <v>0</v>
      </c>
      <c r="M59" s="399">
        <f t="shared" si="1"/>
        <v>0</v>
      </c>
      <c r="N59" s="399">
        <f t="shared" si="1"/>
        <v>134239642.6</v>
      </c>
      <c r="O59" s="399">
        <f t="shared" si="1"/>
        <v>78241310.30000001</v>
      </c>
      <c r="P59" s="401">
        <f>P53-P55</f>
        <v>76264573.87</v>
      </c>
      <c r="T59" s="81"/>
    </row>
    <row r="60" spans="1:20" ht="15.75" customHeight="1">
      <c r="A60" s="951" t="s">
        <v>565</v>
      </c>
      <c r="B60" s="409">
        <f>B61+B62+B67</f>
        <v>655733325.41</v>
      </c>
      <c r="C60" s="409">
        <f aca="true" t="shared" si="2" ref="C60:P60">C61+C62+C67</f>
        <v>542813304.65</v>
      </c>
      <c r="D60" s="409">
        <f t="shared" si="2"/>
        <v>453821530.33</v>
      </c>
      <c r="E60" s="409">
        <f>E61+E62+E67</f>
        <v>430357222.99</v>
      </c>
      <c r="F60" s="409">
        <f t="shared" si="2"/>
        <v>0</v>
      </c>
      <c r="G60" s="409">
        <f t="shared" si="2"/>
        <v>0</v>
      </c>
      <c r="H60" s="409">
        <f t="shared" si="2"/>
        <v>0</v>
      </c>
      <c r="I60" s="409">
        <f t="shared" si="2"/>
        <v>0</v>
      </c>
      <c r="J60" s="409">
        <f t="shared" si="2"/>
        <v>0</v>
      </c>
      <c r="K60" s="409">
        <f t="shared" si="2"/>
        <v>0</v>
      </c>
      <c r="L60" s="409">
        <f t="shared" si="2"/>
        <v>0</v>
      </c>
      <c r="M60" s="409">
        <f t="shared" si="2"/>
        <v>0</v>
      </c>
      <c r="N60" s="409">
        <f t="shared" si="2"/>
        <v>9704904.919999998</v>
      </c>
      <c r="O60" s="409">
        <f t="shared" si="2"/>
        <v>39582773.84</v>
      </c>
      <c r="P60" s="939">
        <f t="shared" si="2"/>
        <v>44815981.760000005</v>
      </c>
      <c r="T60" s="81"/>
    </row>
    <row r="61" spans="1:20" ht="15.75" customHeight="1">
      <c r="A61" s="946" t="s">
        <v>175</v>
      </c>
      <c r="B61" s="410">
        <f>'Anexo 1 _ BAL ORC'!C73</f>
        <v>567793414.28</v>
      </c>
      <c r="C61" s="405">
        <f>'Anexo 1 _ BAL ORC'!E73</f>
        <v>458299236.71</v>
      </c>
      <c r="D61" s="406">
        <f>'Anexo 1 _ BAL ORC'!H73</f>
        <v>369307462.39</v>
      </c>
      <c r="E61" s="407">
        <f>'Anexo 1 _ BAL ORC'!J73</f>
        <v>355009593.26</v>
      </c>
      <c r="F61" s="402"/>
      <c r="G61" s="415"/>
      <c r="H61" s="415"/>
      <c r="I61" s="415"/>
      <c r="J61" s="415"/>
      <c r="K61" s="415"/>
      <c r="L61" s="415"/>
      <c r="M61" s="415"/>
      <c r="N61" s="408">
        <f>79157.35+1154505.85+13900+6464729.76+1067820.88+692133.04</f>
        <v>9472246.879999999</v>
      </c>
      <c r="O61" s="408">
        <f>100000+91735.6+1260061.36+1442424.03+12111.92+13534580.16+23141860.77</f>
        <v>39582773.84</v>
      </c>
      <c r="P61" s="406">
        <f>90003.6+1038110.56+1185309.13+11279.92+19018423.17+23472855.38</f>
        <v>44815981.760000005</v>
      </c>
      <c r="T61" s="81"/>
    </row>
    <row r="62" spans="1:20" ht="15.75" customHeight="1">
      <c r="A62" s="946" t="s">
        <v>176</v>
      </c>
      <c r="B62" s="410">
        <f>B63+B64+B66</f>
        <v>0</v>
      </c>
      <c r="C62" s="410">
        <f aca="true" t="shared" si="3" ref="C62:M62">C63+C64+C66</f>
        <v>0</v>
      </c>
      <c r="D62" s="410"/>
      <c r="E62" s="410">
        <f t="shared" si="3"/>
        <v>0</v>
      </c>
      <c r="F62" s="410">
        <f t="shared" si="3"/>
        <v>0</v>
      </c>
      <c r="G62" s="410">
        <f t="shared" si="3"/>
        <v>0</v>
      </c>
      <c r="H62" s="410">
        <f t="shared" si="3"/>
        <v>0</v>
      </c>
      <c r="I62" s="410">
        <f t="shared" si="3"/>
        <v>0</v>
      </c>
      <c r="J62" s="410">
        <f t="shared" si="3"/>
        <v>0</v>
      </c>
      <c r="K62" s="410">
        <f t="shared" si="3"/>
        <v>0</v>
      </c>
      <c r="L62" s="410">
        <f t="shared" si="3"/>
        <v>0</v>
      </c>
      <c r="M62" s="410">
        <f t="shared" si="3"/>
        <v>0</v>
      </c>
      <c r="N62" s="411"/>
      <c r="O62" s="411"/>
      <c r="P62" s="406"/>
      <c r="R62" s="397"/>
      <c r="T62" s="81"/>
    </row>
    <row r="63" spans="1:20" ht="15.75" customHeight="1">
      <c r="A63" s="944" t="s">
        <v>566</v>
      </c>
      <c r="B63" s="410"/>
      <c r="C63" s="410">
        <v>0</v>
      </c>
      <c r="D63" s="412"/>
      <c r="E63" s="410">
        <v>0</v>
      </c>
      <c r="F63" s="410">
        <v>0</v>
      </c>
      <c r="G63" s="410">
        <v>0</v>
      </c>
      <c r="H63" s="410">
        <v>0</v>
      </c>
      <c r="I63" s="410">
        <v>0</v>
      </c>
      <c r="J63" s="410">
        <v>0</v>
      </c>
      <c r="K63" s="410">
        <v>0</v>
      </c>
      <c r="L63" s="410">
        <v>0</v>
      </c>
      <c r="M63" s="410">
        <v>0</v>
      </c>
      <c r="N63" s="408"/>
      <c r="O63" s="408">
        <f>C63-E63</f>
        <v>0</v>
      </c>
      <c r="P63" s="406">
        <f>D63-N63</f>
        <v>0</v>
      </c>
      <c r="R63" s="397"/>
      <c r="T63" s="81"/>
    </row>
    <row r="64" spans="1:20" ht="15.75" customHeight="1">
      <c r="A64" s="944" t="s">
        <v>567</v>
      </c>
      <c r="B64" s="410"/>
      <c r="C64" s="410">
        <v>0</v>
      </c>
      <c r="D64" s="412"/>
      <c r="E64" s="410">
        <v>0</v>
      </c>
      <c r="F64" s="410">
        <v>0</v>
      </c>
      <c r="G64" s="410">
        <v>0</v>
      </c>
      <c r="H64" s="410">
        <v>0</v>
      </c>
      <c r="I64" s="410">
        <v>0</v>
      </c>
      <c r="J64" s="410">
        <v>0</v>
      </c>
      <c r="K64" s="410">
        <v>0</v>
      </c>
      <c r="L64" s="410">
        <v>0</v>
      </c>
      <c r="M64" s="410">
        <v>0</v>
      </c>
      <c r="N64" s="408"/>
      <c r="O64" s="408">
        <f>C64-E64</f>
        <v>0</v>
      </c>
      <c r="P64" s="406">
        <f>D64-N64</f>
        <v>0</v>
      </c>
      <c r="R64" s="397"/>
      <c r="T64" s="82"/>
    </row>
    <row r="65" spans="1:20" ht="15.75" customHeight="1">
      <c r="A65" s="944" t="s">
        <v>568</v>
      </c>
      <c r="B65" s="410"/>
      <c r="C65" s="410"/>
      <c r="D65" s="412"/>
      <c r="E65" s="412"/>
      <c r="F65" s="922"/>
      <c r="G65" s="922"/>
      <c r="H65" s="922"/>
      <c r="I65" s="922"/>
      <c r="J65" s="922"/>
      <c r="K65" s="922"/>
      <c r="L65" s="922"/>
      <c r="M65" s="922"/>
      <c r="N65" s="408"/>
      <c r="O65" s="408"/>
      <c r="P65" s="406"/>
      <c r="T65" s="82"/>
    </row>
    <row r="66" spans="1:16" ht="15.75" customHeight="1">
      <c r="A66" s="944" t="s">
        <v>177</v>
      </c>
      <c r="B66" s="410"/>
      <c r="C66" s="405"/>
      <c r="D66" s="411"/>
      <c r="E66" s="406"/>
      <c r="F66" s="402"/>
      <c r="G66" s="415"/>
      <c r="H66" s="415"/>
      <c r="I66" s="415"/>
      <c r="J66" s="415"/>
      <c r="K66" s="415"/>
      <c r="L66" s="415"/>
      <c r="M66" s="415"/>
      <c r="N66" s="408"/>
      <c r="O66" s="408">
        <f>C66-E66</f>
        <v>0</v>
      </c>
      <c r="P66" s="406">
        <f>D66-N66</f>
        <v>0</v>
      </c>
    </row>
    <row r="67" spans="1:20" ht="15.75" customHeight="1">
      <c r="A67" s="946" t="s">
        <v>569</v>
      </c>
      <c r="B67" s="410">
        <f>'Anexo 1 _ BAL ORC'!C75</f>
        <v>87939911.13</v>
      </c>
      <c r="C67" s="410">
        <f>'Anexo 1 _ BAL ORC'!E75</f>
        <v>84514067.94</v>
      </c>
      <c r="D67" s="406">
        <f>'Anexo 1 _ BAL ORC'!H75</f>
        <v>84514067.94</v>
      </c>
      <c r="E67" s="406">
        <f>'Anexo 1 _ BAL ORC'!J75</f>
        <v>75347629.73</v>
      </c>
      <c r="F67" s="402"/>
      <c r="G67" s="415"/>
      <c r="H67" s="415"/>
      <c r="I67" s="415"/>
      <c r="J67" s="415"/>
      <c r="K67" s="415"/>
      <c r="L67" s="415"/>
      <c r="M67" s="415"/>
      <c r="N67" s="408">
        <v>232658.04</v>
      </c>
      <c r="O67" s="408">
        <v>0</v>
      </c>
      <c r="P67" s="406">
        <v>0</v>
      </c>
      <c r="T67" s="81"/>
    </row>
    <row r="68" spans="1:20" ht="15.75" customHeight="1">
      <c r="A68" s="951" t="s">
        <v>936</v>
      </c>
      <c r="B68" s="409">
        <f>B60-B63-B64-B65-B67</f>
        <v>567793414.28</v>
      </c>
      <c r="C68" s="409">
        <f>C60-C63-C64-C65-C67</f>
        <v>458299236.71</v>
      </c>
      <c r="D68" s="409">
        <f>D60-D63-D64-D65-D67</f>
        <v>369307462.39</v>
      </c>
      <c r="E68" s="409">
        <f>E60-E63-E64-E65-E67</f>
        <v>355009593.26</v>
      </c>
      <c r="F68" s="409">
        <f aca="true" t="shared" si="4" ref="F68:M68">F60-F63-F64-F67</f>
        <v>0</v>
      </c>
      <c r="G68" s="409">
        <f t="shared" si="4"/>
        <v>0</v>
      </c>
      <c r="H68" s="409">
        <f t="shared" si="4"/>
        <v>0</v>
      </c>
      <c r="I68" s="409">
        <f t="shared" si="4"/>
        <v>0</v>
      </c>
      <c r="J68" s="409">
        <f t="shared" si="4"/>
        <v>0</v>
      </c>
      <c r="K68" s="409">
        <f t="shared" si="4"/>
        <v>0</v>
      </c>
      <c r="L68" s="409">
        <f t="shared" si="4"/>
        <v>0</v>
      </c>
      <c r="M68" s="409">
        <f t="shared" si="4"/>
        <v>0</v>
      </c>
      <c r="N68" s="409">
        <f>N60-N63-N64-N65-N67</f>
        <v>9472246.879999999</v>
      </c>
      <c r="O68" s="409">
        <f>O60-O63-O64-O65-O67</f>
        <v>39582773.84</v>
      </c>
      <c r="P68" s="409">
        <f>P60-P63-P64-P65-P67</f>
        <v>44815981.760000005</v>
      </c>
      <c r="T68" s="397"/>
    </row>
    <row r="69" spans="1:16" ht="15.75" customHeight="1">
      <c r="A69" s="951" t="s">
        <v>626</v>
      </c>
      <c r="B69" s="410">
        <f>'Anexo 1 _ BAL ORC'!C76</f>
        <v>31148437.930000007</v>
      </c>
      <c r="C69" s="450"/>
      <c r="D69" s="405"/>
      <c r="E69" s="413"/>
      <c r="F69" s="402"/>
      <c r="G69" s="415"/>
      <c r="H69" s="415"/>
      <c r="I69" s="415"/>
      <c r="J69" s="415"/>
      <c r="K69" s="415"/>
      <c r="L69" s="415"/>
      <c r="M69" s="415"/>
      <c r="N69" s="408"/>
      <c r="O69" s="408"/>
      <c r="P69" s="406"/>
    </row>
    <row r="70" spans="1:20" ht="15.75" customHeight="1">
      <c r="A70" s="952" t="s">
        <v>938</v>
      </c>
      <c r="B70" s="1140">
        <f>B59+B68+B69</f>
        <v>3770459120.31</v>
      </c>
      <c r="C70" s="1140">
        <f aca="true" t="shared" si="5" ref="C70:P70">C59+C68+C69</f>
        <v>3344397114.9999995</v>
      </c>
      <c r="D70" s="1140">
        <f t="shared" si="5"/>
        <v>3093578088.3899994</v>
      </c>
      <c r="E70" s="1140">
        <f t="shared" si="5"/>
        <v>2997055867.21</v>
      </c>
      <c r="F70" s="1140">
        <f t="shared" si="5"/>
        <v>0</v>
      </c>
      <c r="G70" s="1140">
        <f t="shared" si="5"/>
        <v>0</v>
      </c>
      <c r="H70" s="1140">
        <f t="shared" si="5"/>
        <v>0</v>
      </c>
      <c r="I70" s="1140">
        <f t="shared" si="5"/>
        <v>0</v>
      </c>
      <c r="J70" s="1140">
        <f t="shared" si="5"/>
        <v>0</v>
      </c>
      <c r="K70" s="1140">
        <f t="shared" si="5"/>
        <v>0</v>
      </c>
      <c r="L70" s="1140">
        <f t="shared" si="5"/>
        <v>0</v>
      </c>
      <c r="M70" s="1140">
        <f t="shared" si="5"/>
        <v>0</v>
      </c>
      <c r="N70" s="1140">
        <f t="shared" si="5"/>
        <v>143711889.48</v>
      </c>
      <c r="O70" s="1140">
        <f t="shared" si="5"/>
        <v>117824084.14000002</v>
      </c>
      <c r="P70" s="1140">
        <f t="shared" si="5"/>
        <v>121080555.63000001</v>
      </c>
      <c r="T70" s="397"/>
    </row>
    <row r="71" spans="1:20" s="39" customFormat="1" ht="36.75" customHeight="1">
      <c r="A71" s="928" t="s">
        <v>939</v>
      </c>
      <c r="B71" s="1800">
        <f>(D49-(E70+N70+P70))</f>
        <v>26441298.13999939</v>
      </c>
      <c r="C71" s="1801"/>
      <c r="D71" s="1801"/>
      <c r="E71" s="1801"/>
      <c r="F71" s="1801"/>
      <c r="G71" s="1801"/>
      <c r="H71" s="1801"/>
      <c r="I71" s="1801"/>
      <c r="J71" s="1801"/>
      <c r="K71" s="1801"/>
      <c r="L71" s="1801"/>
      <c r="M71" s="1801"/>
      <c r="N71" s="1801"/>
      <c r="O71" s="1801"/>
      <c r="P71" s="1802"/>
      <c r="Q71" s="398"/>
      <c r="R71" s="398"/>
      <c r="S71" s="398"/>
      <c r="T71" s="398"/>
    </row>
    <row r="72" spans="1:20" s="39" customFormat="1" ht="15">
      <c r="A72" s="928"/>
      <c r="B72" s="1141"/>
      <c r="C72" s="1141"/>
      <c r="D72" s="1141"/>
      <c r="E72" s="1141"/>
      <c r="F72" s="1141"/>
      <c r="G72" s="1141"/>
      <c r="H72" s="1141"/>
      <c r="I72" s="1141"/>
      <c r="J72" s="1141"/>
      <c r="K72" s="1141"/>
      <c r="L72" s="1141"/>
      <c r="M72" s="1141"/>
      <c r="N72" s="1141"/>
      <c r="O72" s="1141"/>
      <c r="P72" s="1142"/>
      <c r="Q72" s="398"/>
      <c r="R72" s="398"/>
      <c r="S72" s="398"/>
      <c r="T72" s="398"/>
    </row>
    <row r="73" spans="1:16" ht="27.75" customHeight="1">
      <c r="A73" s="925" t="s">
        <v>570</v>
      </c>
      <c r="B73" s="1859" t="s">
        <v>389</v>
      </c>
      <c r="C73" s="1859"/>
      <c r="D73" s="1859"/>
      <c r="E73" s="1859"/>
      <c r="F73" s="1859"/>
      <c r="G73" s="1859"/>
      <c r="H73" s="1859"/>
      <c r="I73" s="1859"/>
      <c r="J73" s="1859"/>
      <c r="K73" s="1859"/>
      <c r="L73" s="1859"/>
      <c r="M73" s="1859"/>
      <c r="N73" s="1859"/>
      <c r="O73" s="1859"/>
      <c r="P73" s="1860"/>
    </row>
    <row r="74" spans="1:16" ht="36" customHeight="1">
      <c r="A74" s="924" t="s">
        <v>571</v>
      </c>
      <c r="B74" s="1858">
        <v>258588010</v>
      </c>
      <c r="C74" s="1858"/>
      <c r="D74" s="1858"/>
      <c r="E74" s="1858"/>
      <c r="F74" s="1858"/>
      <c r="G74" s="1858"/>
      <c r="H74" s="1858"/>
      <c r="I74" s="1858"/>
      <c r="J74" s="1858"/>
      <c r="K74" s="1858"/>
      <c r="L74" s="1858"/>
      <c r="M74" s="1858"/>
      <c r="N74" s="1858"/>
      <c r="O74" s="1858"/>
      <c r="P74" s="1858"/>
    </row>
    <row r="75" spans="1:16" ht="15">
      <c r="A75" s="953"/>
      <c r="B75" s="929"/>
      <c r="C75" s="930"/>
      <c r="D75" s="930"/>
      <c r="E75" s="930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56"/>
    </row>
    <row r="76" spans="1:16" ht="18.75" customHeight="1">
      <c r="A76" s="1864" t="s">
        <v>572</v>
      </c>
      <c r="B76" s="1866" t="s">
        <v>923</v>
      </c>
      <c r="C76" s="1867"/>
      <c r="D76" s="1867"/>
      <c r="E76" s="1867"/>
      <c r="F76" s="1867"/>
      <c r="G76" s="1867"/>
      <c r="H76" s="1867"/>
      <c r="I76" s="1867"/>
      <c r="J76" s="1867"/>
      <c r="K76" s="1867"/>
      <c r="L76" s="1867"/>
      <c r="M76" s="1867"/>
      <c r="N76" s="1867"/>
      <c r="O76" s="1867"/>
      <c r="P76" s="1868"/>
    </row>
    <row r="77" spans="1:16" ht="27.75" customHeight="1">
      <c r="A77" s="1865"/>
      <c r="B77" s="1799" t="s">
        <v>573</v>
      </c>
      <c r="C77" s="1799"/>
      <c r="D77" s="1799"/>
      <c r="E77" s="1799"/>
      <c r="F77" s="1799"/>
      <c r="G77" s="1799"/>
      <c r="H77" s="1799"/>
      <c r="I77" s="1799"/>
      <c r="J77" s="1799"/>
      <c r="K77" s="1799"/>
      <c r="L77" s="1799"/>
      <c r="M77" s="1799"/>
      <c r="N77" s="1799"/>
      <c r="O77" s="1799"/>
      <c r="P77" s="1799"/>
    </row>
    <row r="78" spans="1:16" ht="20.25" customHeight="1">
      <c r="A78" s="931" t="s">
        <v>732</v>
      </c>
      <c r="B78" s="1790">
        <v>42863324.51</v>
      </c>
      <c r="C78" s="1790"/>
      <c r="D78" s="1790"/>
      <c r="E78" s="1790"/>
      <c r="F78" s="1790"/>
      <c r="G78" s="1790"/>
      <c r="H78" s="1790"/>
      <c r="I78" s="1790"/>
      <c r="J78" s="1790"/>
      <c r="K78" s="1790"/>
      <c r="L78" s="1790"/>
      <c r="M78" s="1790"/>
      <c r="N78" s="1790"/>
      <c r="O78" s="1790"/>
      <c r="P78" s="1790"/>
    </row>
    <row r="79" spans="1:16" ht="19.5" customHeight="1">
      <c r="A79" s="931" t="s">
        <v>733</v>
      </c>
      <c r="B79" s="1790">
        <v>28756845.61</v>
      </c>
      <c r="C79" s="1790"/>
      <c r="D79" s="1790"/>
      <c r="E79" s="1790"/>
      <c r="F79" s="1790"/>
      <c r="G79" s="1790"/>
      <c r="H79" s="1790"/>
      <c r="I79" s="1790"/>
      <c r="J79" s="1790"/>
      <c r="K79" s="1790"/>
      <c r="L79" s="1790"/>
      <c r="M79" s="1790"/>
      <c r="N79" s="1790"/>
      <c r="O79" s="1790"/>
      <c r="P79" s="1790"/>
    </row>
    <row r="80" spans="1:16" ht="12.75" customHeight="1">
      <c r="A80" s="954"/>
      <c r="B80" s="927"/>
      <c r="C80" s="927"/>
      <c r="D80" s="927"/>
      <c r="E80" s="927"/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57"/>
    </row>
    <row r="81" spans="1:16" ht="36.75" customHeight="1">
      <c r="A81" s="1146" t="s">
        <v>734</v>
      </c>
      <c r="B81" s="1790">
        <f>B71+(B78-B79)</f>
        <v>40547777.03999939</v>
      </c>
      <c r="C81" s="1790"/>
      <c r="D81" s="1790"/>
      <c r="E81" s="1790"/>
      <c r="F81" s="1790"/>
      <c r="G81" s="1790"/>
      <c r="H81" s="1790"/>
      <c r="I81" s="1790"/>
      <c r="J81" s="1790"/>
      <c r="K81" s="1790"/>
      <c r="L81" s="1790"/>
      <c r="M81" s="1790"/>
      <c r="N81" s="1790"/>
      <c r="O81" s="1790"/>
      <c r="P81" s="1790"/>
    </row>
    <row r="82" spans="1:16" ht="11.25" customHeight="1">
      <c r="A82" s="955"/>
      <c r="B82" s="927"/>
      <c r="C82" s="927"/>
      <c r="D82" s="927"/>
      <c r="E82" s="927"/>
      <c r="F82" s="927"/>
      <c r="G82" s="927"/>
      <c r="H82" s="927"/>
      <c r="I82" s="927"/>
      <c r="J82" s="927"/>
      <c r="K82" s="927"/>
      <c r="L82" s="927"/>
      <c r="M82" s="927"/>
      <c r="N82" s="927"/>
      <c r="O82" s="927"/>
      <c r="P82" s="957"/>
    </row>
    <row r="83" spans="1:16" ht="36.75" customHeight="1">
      <c r="A83" s="924" t="s">
        <v>574</v>
      </c>
      <c r="B83" s="1796" t="s">
        <v>389</v>
      </c>
      <c r="C83" s="1796"/>
      <c r="D83" s="1796"/>
      <c r="E83" s="1796"/>
      <c r="F83" s="1796"/>
      <c r="G83" s="1796"/>
      <c r="H83" s="1796"/>
      <c r="I83" s="1796"/>
      <c r="J83" s="1796"/>
      <c r="K83" s="1796"/>
      <c r="L83" s="1796"/>
      <c r="M83" s="1796"/>
      <c r="N83" s="1796"/>
      <c r="O83" s="1796"/>
      <c r="P83" s="1796"/>
    </row>
    <row r="84" spans="1:16" ht="36.75" customHeight="1">
      <c r="A84" s="924" t="s">
        <v>571</v>
      </c>
      <c r="B84" s="1858">
        <v>-4113360</v>
      </c>
      <c r="C84" s="1858"/>
      <c r="D84" s="1858"/>
      <c r="E84" s="1858"/>
      <c r="F84" s="1858"/>
      <c r="G84" s="1858"/>
      <c r="H84" s="1858"/>
      <c r="I84" s="1858"/>
      <c r="J84" s="1858"/>
      <c r="K84" s="1858"/>
      <c r="L84" s="1858"/>
      <c r="M84" s="1858"/>
      <c r="N84" s="1858"/>
      <c r="O84" s="1858"/>
      <c r="P84" s="1870"/>
    </row>
    <row r="85" spans="1:16" ht="15">
      <c r="A85" s="923"/>
      <c r="B85" s="933"/>
      <c r="C85" s="933"/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62"/>
    </row>
    <row r="86" spans="1:16" ht="15">
      <c r="A86" s="923"/>
      <c r="B86" s="933"/>
      <c r="C86" s="933"/>
      <c r="D86" s="933"/>
      <c r="E86" s="933"/>
      <c r="F86" s="933"/>
      <c r="G86" s="933"/>
      <c r="H86" s="933"/>
      <c r="I86" s="933"/>
      <c r="J86" s="933"/>
      <c r="K86" s="933"/>
      <c r="L86" s="933"/>
      <c r="M86" s="933"/>
      <c r="N86" s="933"/>
      <c r="O86" s="933"/>
      <c r="P86" s="933"/>
    </row>
    <row r="87" spans="1:16" ht="15">
      <c r="A87" s="923"/>
      <c r="B87" s="933"/>
      <c r="C87" s="933"/>
      <c r="D87" s="933"/>
      <c r="E87" s="933"/>
      <c r="F87" s="933"/>
      <c r="G87" s="933"/>
      <c r="H87" s="933"/>
      <c r="I87" s="933"/>
      <c r="J87" s="933"/>
      <c r="K87" s="933"/>
      <c r="L87" s="933"/>
      <c r="M87" s="933"/>
      <c r="N87" s="933"/>
      <c r="O87" s="933"/>
      <c r="P87" s="933"/>
    </row>
    <row r="88" spans="1:16" ht="15">
      <c r="A88" s="923"/>
      <c r="B88" s="933"/>
      <c r="C88" s="933"/>
      <c r="D88" s="933"/>
      <c r="E88" s="933"/>
      <c r="F88" s="933"/>
      <c r="G88" s="933"/>
      <c r="H88" s="933"/>
      <c r="I88" s="933"/>
      <c r="J88" s="933"/>
      <c r="K88" s="933"/>
      <c r="L88" s="933"/>
      <c r="M88" s="933"/>
      <c r="N88" s="933"/>
      <c r="O88" s="933"/>
      <c r="P88" s="933"/>
    </row>
    <row r="89" spans="1:16" ht="26.25" customHeight="1">
      <c r="A89" s="1871" t="s">
        <v>575</v>
      </c>
      <c r="B89" s="1871"/>
      <c r="C89" s="1871"/>
      <c r="D89" s="1871"/>
      <c r="E89" s="1871"/>
      <c r="F89" s="1871"/>
      <c r="G89" s="1871"/>
      <c r="H89" s="1871"/>
      <c r="I89" s="1871"/>
      <c r="J89" s="1871"/>
      <c r="K89" s="1871"/>
      <c r="L89" s="1871"/>
      <c r="M89" s="1871"/>
      <c r="N89" s="1871"/>
      <c r="O89" s="1871"/>
      <c r="P89" s="1871"/>
    </row>
    <row r="90" spans="1:16" ht="16.5" customHeight="1">
      <c r="A90" s="1871" t="s">
        <v>576</v>
      </c>
      <c r="B90" s="1796" t="s">
        <v>167</v>
      </c>
      <c r="C90" s="1796"/>
      <c r="D90" s="1796"/>
      <c r="E90" s="1796"/>
      <c r="F90" s="1796"/>
      <c r="G90" s="1796"/>
      <c r="H90" s="1796"/>
      <c r="I90" s="1796"/>
      <c r="J90" s="1796"/>
      <c r="K90" s="1796"/>
      <c r="L90" s="1796"/>
      <c r="M90" s="1796"/>
      <c r="N90" s="1796"/>
      <c r="O90" s="1796"/>
      <c r="P90" s="1796"/>
    </row>
    <row r="91" spans="1:16" ht="16.5" customHeight="1">
      <c r="A91" s="1872"/>
      <c r="B91" s="1796" t="s">
        <v>746</v>
      </c>
      <c r="C91" s="1796"/>
      <c r="D91" s="1796"/>
      <c r="E91" s="1796"/>
      <c r="F91" s="932"/>
      <c r="G91" s="932"/>
      <c r="H91" s="932"/>
      <c r="I91" s="932"/>
      <c r="J91" s="932"/>
      <c r="K91" s="932"/>
      <c r="L91" s="932"/>
      <c r="M91" s="932"/>
      <c r="N91" s="1796" t="s">
        <v>577</v>
      </c>
      <c r="O91" s="1796"/>
      <c r="P91" s="1796"/>
    </row>
    <row r="92" spans="1:20" s="935" customFormat="1" ht="16.5" customHeight="1">
      <c r="A92" s="936" t="s">
        <v>578</v>
      </c>
      <c r="B92" s="1796">
        <v>725712663.09</v>
      </c>
      <c r="C92" s="1796"/>
      <c r="D92" s="1796"/>
      <c r="E92" s="1796"/>
      <c r="F92" s="1796"/>
      <c r="G92" s="1796"/>
      <c r="H92" s="1797" t="s">
        <v>577</v>
      </c>
      <c r="I92" s="1797"/>
      <c r="J92" s="1798"/>
      <c r="K92" s="1869" t="s">
        <v>577</v>
      </c>
      <c r="L92" s="1797"/>
      <c r="M92" s="1797"/>
      <c r="N92" s="1796">
        <v>896478126</v>
      </c>
      <c r="O92" s="1796"/>
      <c r="P92" s="1796"/>
      <c r="Q92" s="926"/>
      <c r="R92" s="926"/>
      <c r="S92" s="926"/>
      <c r="T92" s="926"/>
    </row>
    <row r="93" spans="1:20" s="935" customFormat="1" ht="16.5" customHeight="1">
      <c r="A93" s="936" t="s">
        <v>579</v>
      </c>
      <c r="B93" s="1796">
        <f>B94-B97</f>
        <v>117415027.82000005</v>
      </c>
      <c r="C93" s="1796"/>
      <c r="D93" s="1796"/>
      <c r="E93" s="1796"/>
      <c r="F93" s="1796"/>
      <c r="G93" s="1796"/>
      <c r="H93" s="1877" t="s">
        <v>577</v>
      </c>
      <c r="I93" s="1877"/>
      <c r="J93" s="1878"/>
      <c r="K93" s="1876" t="s">
        <v>577</v>
      </c>
      <c r="L93" s="1877"/>
      <c r="M93" s="1877"/>
      <c r="N93" s="1796">
        <f>N94-N97</f>
        <v>323434188.77</v>
      </c>
      <c r="O93" s="1796"/>
      <c r="P93" s="1796"/>
      <c r="Q93" s="926"/>
      <c r="R93" s="926"/>
      <c r="S93" s="926"/>
      <c r="T93" s="926"/>
    </row>
    <row r="94" spans="1:16" ht="16.5" customHeight="1">
      <c r="A94" s="937" t="s">
        <v>631</v>
      </c>
      <c r="B94" s="1796">
        <f>B95-B96</f>
        <v>117415027.82000005</v>
      </c>
      <c r="C94" s="1796"/>
      <c r="D94" s="1796"/>
      <c r="E94" s="1796"/>
      <c r="F94" s="1796"/>
      <c r="G94" s="1796"/>
      <c r="H94" s="1877" t="s">
        <v>577</v>
      </c>
      <c r="I94" s="1877"/>
      <c r="J94" s="1878"/>
      <c r="K94" s="1876" t="s">
        <v>577</v>
      </c>
      <c r="L94" s="1877"/>
      <c r="M94" s="1877"/>
      <c r="N94" s="1796">
        <f>N95-N96</f>
        <v>323434188.77</v>
      </c>
      <c r="O94" s="1796"/>
      <c r="P94" s="1796"/>
    </row>
    <row r="95" spans="1:16" ht="16.5" customHeight="1">
      <c r="A95" s="937" t="s">
        <v>580</v>
      </c>
      <c r="B95" s="1790">
        <v>528023712.47</v>
      </c>
      <c r="C95" s="1790"/>
      <c r="D95" s="1790"/>
      <c r="E95" s="1790"/>
      <c r="F95" s="1790"/>
      <c r="G95" s="1790"/>
      <c r="H95" s="1877" t="s">
        <v>577</v>
      </c>
      <c r="I95" s="1877"/>
      <c r="J95" s="1878"/>
      <c r="K95" s="1876" t="s">
        <v>577</v>
      </c>
      <c r="L95" s="1877"/>
      <c r="M95" s="1877"/>
      <c r="N95" s="1790">
        <v>630102732</v>
      </c>
      <c r="O95" s="1790"/>
      <c r="P95" s="1790"/>
    </row>
    <row r="96" spans="1:16" ht="16.5" customHeight="1">
      <c r="A96" s="937" t="s">
        <v>677</v>
      </c>
      <c r="B96" s="1790">
        <v>410608684.65</v>
      </c>
      <c r="C96" s="1790"/>
      <c r="D96" s="1790"/>
      <c r="E96" s="1790"/>
      <c r="F96" s="1790"/>
      <c r="G96" s="1790"/>
      <c r="H96" s="1877" t="s">
        <v>577</v>
      </c>
      <c r="I96" s="1877"/>
      <c r="J96" s="1878"/>
      <c r="K96" s="1876" t="s">
        <v>577</v>
      </c>
      <c r="L96" s="1877"/>
      <c r="M96" s="1877"/>
      <c r="N96" s="1790">
        <v>306668543.23</v>
      </c>
      <c r="O96" s="1790"/>
      <c r="P96" s="1790"/>
    </row>
    <row r="97" spans="1:16" ht="16.5" customHeight="1">
      <c r="A97" s="937" t="s">
        <v>449</v>
      </c>
      <c r="B97" s="1796"/>
      <c r="C97" s="1796"/>
      <c r="D97" s="1796"/>
      <c r="E97" s="1796"/>
      <c r="F97" s="1796"/>
      <c r="G97" s="1796"/>
      <c r="H97" s="1877" t="s">
        <v>577</v>
      </c>
      <c r="I97" s="1877"/>
      <c r="J97" s="1878"/>
      <c r="K97" s="1876" t="s">
        <v>577</v>
      </c>
      <c r="L97" s="1877"/>
      <c r="M97" s="1877"/>
      <c r="N97" s="1796"/>
      <c r="O97" s="1796"/>
      <c r="P97" s="1796"/>
    </row>
    <row r="98" spans="1:20" s="935" customFormat="1" ht="16.5" customHeight="1">
      <c r="A98" s="936" t="s">
        <v>937</v>
      </c>
      <c r="B98" s="1796">
        <f>B92-B93</f>
        <v>608297635.27</v>
      </c>
      <c r="C98" s="1796"/>
      <c r="D98" s="1796"/>
      <c r="E98" s="1796"/>
      <c r="F98" s="1796"/>
      <c r="G98" s="1796"/>
      <c r="H98" s="1879" t="s">
        <v>577</v>
      </c>
      <c r="I98" s="1879"/>
      <c r="J98" s="1880"/>
      <c r="K98" s="1881" t="s">
        <v>577</v>
      </c>
      <c r="L98" s="1879"/>
      <c r="M98" s="1879"/>
      <c r="N98" s="1796">
        <f>N92-N93</f>
        <v>573043937.23</v>
      </c>
      <c r="O98" s="1796"/>
      <c r="P98" s="1796"/>
      <c r="Q98" s="926"/>
      <c r="R98" s="926"/>
      <c r="S98" s="926"/>
      <c r="T98" s="926"/>
    </row>
    <row r="99" spans="1:16" ht="36" customHeight="1">
      <c r="A99" s="936" t="s">
        <v>680</v>
      </c>
      <c r="B99" s="1790">
        <f>B98-N98</f>
        <v>35253698.03999996</v>
      </c>
      <c r="C99" s="1790"/>
      <c r="D99" s="1790"/>
      <c r="E99" s="1790"/>
      <c r="F99" s="1790"/>
      <c r="G99" s="1790"/>
      <c r="H99" s="1790"/>
      <c r="I99" s="1790"/>
      <c r="J99" s="1790"/>
      <c r="K99" s="1790"/>
      <c r="L99" s="1790"/>
      <c r="M99" s="1790"/>
      <c r="N99" s="1790"/>
      <c r="O99" s="1790"/>
      <c r="P99" s="1790"/>
    </row>
    <row r="100" spans="1:16" ht="16.5" customHeight="1">
      <c r="A100" s="954"/>
      <c r="B100" s="927"/>
      <c r="C100" s="927"/>
      <c r="D100" s="927"/>
      <c r="E100" s="927"/>
      <c r="F100" s="927"/>
      <c r="G100" s="927"/>
      <c r="H100" s="927"/>
      <c r="I100" s="927"/>
      <c r="J100" s="927"/>
      <c r="K100" s="927"/>
      <c r="L100" s="927"/>
      <c r="M100" s="927"/>
      <c r="N100" s="927"/>
      <c r="O100" s="927"/>
      <c r="P100" s="957"/>
    </row>
    <row r="101" spans="1:16" ht="32.25" customHeight="1">
      <c r="A101" s="934" t="s">
        <v>601</v>
      </c>
      <c r="B101" s="1796" t="s">
        <v>923</v>
      </c>
      <c r="C101" s="1796"/>
      <c r="D101" s="1796"/>
      <c r="E101" s="1796"/>
      <c r="F101" s="1796"/>
      <c r="G101" s="1796"/>
      <c r="H101" s="1796"/>
      <c r="I101" s="1796"/>
      <c r="J101" s="1796"/>
      <c r="K101" s="1796"/>
      <c r="L101" s="1796"/>
      <c r="M101" s="1796"/>
      <c r="N101" s="1796"/>
      <c r="O101" s="1796"/>
      <c r="P101" s="1796"/>
    </row>
    <row r="102" spans="1:16" ht="16.5" customHeight="1">
      <c r="A102" s="931" t="s">
        <v>681</v>
      </c>
      <c r="B102" s="1790">
        <f>B96-N96</f>
        <v>103940141.41999996</v>
      </c>
      <c r="C102" s="1790"/>
      <c r="D102" s="1790"/>
      <c r="E102" s="1790"/>
      <c r="F102" s="1790"/>
      <c r="G102" s="1790"/>
      <c r="H102" s="1790"/>
      <c r="I102" s="1790"/>
      <c r="J102" s="1790"/>
      <c r="K102" s="1790"/>
      <c r="L102" s="1790"/>
      <c r="M102" s="1790"/>
      <c r="N102" s="1790"/>
      <c r="O102" s="1790"/>
      <c r="P102" s="1790"/>
    </row>
    <row r="103" spans="1:16" ht="16.5" customHeight="1">
      <c r="A103" s="931" t="s">
        <v>678</v>
      </c>
      <c r="B103" s="1790">
        <f>D40</f>
        <v>0</v>
      </c>
      <c r="C103" s="1790"/>
      <c r="D103" s="1790"/>
      <c r="E103" s="1790"/>
      <c r="F103" s="1790"/>
      <c r="G103" s="1790"/>
      <c r="H103" s="1790"/>
      <c r="I103" s="1790"/>
      <c r="J103" s="1790"/>
      <c r="K103" s="1790"/>
      <c r="L103" s="1790"/>
      <c r="M103" s="1790"/>
      <c r="N103" s="1790"/>
      <c r="O103" s="1790"/>
      <c r="P103" s="1790"/>
    </row>
    <row r="104" spans="1:16" ht="16.5" customHeight="1">
      <c r="A104" s="931" t="s">
        <v>679</v>
      </c>
      <c r="B104" s="1790">
        <v>359120749.73</v>
      </c>
      <c r="C104" s="1790"/>
      <c r="D104" s="1790"/>
      <c r="E104" s="1790"/>
      <c r="F104" s="1790"/>
      <c r="G104" s="1790"/>
      <c r="H104" s="1790"/>
      <c r="I104" s="1790"/>
      <c r="J104" s="1790"/>
      <c r="K104" s="1790"/>
      <c r="L104" s="1790"/>
      <c r="M104" s="1790"/>
      <c r="N104" s="1790"/>
      <c r="O104" s="1790"/>
      <c r="P104" s="1790"/>
    </row>
    <row r="105" spans="1:16" ht="16.5" customHeight="1">
      <c r="A105" s="931" t="s">
        <v>682</v>
      </c>
      <c r="B105" s="1790">
        <v>-34362311.77</v>
      </c>
      <c r="C105" s="1790"/>
      <c r="D105" s="1790"/>
      <c r="E105" s="1790"/>
      <c r="F105" s="1790"/>
      <c r="G105" s="1790"/>
      <c r="H105" s="1790"/>
      <c r="I105" s="1790"/>
      <c r="J105" s="1790"/>
      <c r="K105" s="1790"/>
      <c r="L105" s="1790"/>
      <c r="M105" s="1790"/>
      <c r="N105" s="1790"/>
      <c r="O105" s="1790"/>
      <c r="P105" s="1790"/>
    </row>
    <row r="106" spans="1:16" ht="16.5" customHeight="1">
      <c r="A106" s="931" t="s">
        <v>683</v>
      </c>
      <c r="B106" s="1790">
        <v>22405521.01</v>
      </c>
      <c r="C106" s="1790"/>
      <c r="D106" s="1790"/>
      <c r="E106" s="1790"/>
      <c r="F106" s="1790"/>
      <c r="G106" s="1790"/>
      <c r="H106" s="1790"/>
      <c r="I106" s="1790"/>
      <c r="J106" s="1790"/>
      <c r="K106" s="1790"/>
      <c r="L106" s="1790"/>
      <c r="M106" s="1790"/>
      <c r="N106" s="1790"/>
      <c r="O106" s="1790"/>
      <c r="P106" s="1790"/>
    </row>
    <row r="107" spans="1:16" ht="16.5" customHeight="1">
      <c r="A107" s="931" t="s">
        <v>748</v>
      </c>
      <c r="B107" s="1790"/>
      <c r="C107" s="1790"/>
      <c r="D107" s="1790"/>
      <c r="E107" s="1790"/>
      <c r="F107" s="1790"/>
      <c r="G107" s="1790"/>
      <c r="H107" s="1790"/>
      <c r="I107" s="1790"/>
      <c r="J107" s="1790"/>
      <c r="K107" s="1790"/>
      <c r="L107" s="1790"/>
      <c r="M107" s="1790"/>
      <c r="N107" s="1790"/>
      <c r="O107" s="1790"/>
      <c r="P107" s="1790"/>
    </row>
    <row r="108" spans="1:16" ht="16.5" customHeight="1">
      <c r="A108" s="931" t="s">
        <v>747</v>
      </c>
      <c r="B108" s="1790"/>
      <c r="C108" s="1790"/>
      <c r="D108" s="1790"/>
      <c r="E108" s="1790"/>
      <c r="F108" s="1790"/>
      <c r="G108" s="1790"/>
      <c r="H108" s="1790"/>
      <c r="I108" s="1790"/>
      <c r="J108" s="1790"/>
      <c r="K108" s="1790"/>
      <c r="L108" s="1790"/>
      <c r="M108" s="1790"/>
      <c r="N108" s="1790"/>
      <c r="O108" s="1790"/>
      <c r="P108" s="1790"/>
    </row>
    <row r="109" spans="1:20" s="935" customFormat="1" ht="42.75" customHeight="1">
      <c r="A109" s="924" t="s">
        <v>749</v>
      </c>
      <c r="B109" s="1796">
        <f>(B99-B102-B103+B104+B105-B106+B107+B108)</f>
        <v>233666473.57000002</v>
      </c>
      <c r="C109" s="1796"/>
      <c r="D109" s="1796"/>
      <c r="E109" s="1796"/>
      <c r="F109" s="1796"/>
      <c r="G109" s="1796"/>
      <c r="H109" s="1796"/>
      <c r="I109" s="1796"/>
      <c r="J109" s="1796"/>
      <c r="K109" s="1796"/>
      <c r="L109" s="1796"/>
      <c r="M109" s="1796"/>
      <c r="N109" s="1796"/>
      <c r="O109" s="1796"/>
      <c r="P109" s="1796"/>
      <c r="Q109" s="926"/>
      <c r="R109" s="926"/>
      <c r="S109" s="926"/>
      <c r="T109" s="926"/>
    </row>
    <row r="110" spans="1:16" ht="16.5" customHeight="1">
      <c r="A110" s="954"/>
      <c r="B110" s="927"/>
      <c r="C110" s="927"/>
      <c r="D110" s="927"/>
      <c r="E110" s="927"/>
      <c r="F110" s="927"/>
      <c r="G110" s="927"/>
      <c r="H110" s="927"/>
      <c r="I110" s="927"/>
      <c r="J110" s="927"/>
      <c r="K110" s="927"/>
      <c r="L110" s="927"/>
      <c r="M110" s="927"/>
      <c r="N110" s="927"/>
      <c r="O110" s="927"/>
      <c r="P110" s="957"/>
    </row>
    <row r="111" spans="1:20" s="935" customFormat="1" ht="42.75" customHeight="1">
      <c r="A111" s="924" t="s">
        <v>750</v>
      </c>
      <c r="B111" s="1796">
        <f>B109-(B78-B79)</f>
        <v>219559994.67000002</v>
      </c>
      <c r="C111" s="1796"/>
      <c r="D111" s="1796"/>
      <c r="E111" s="1796"/>
      <c r="F111" s="1796"/>
      <c r="G111" s="1796"/>
      <c r="H111" s="1796"/>
      <c r="I111" s="1796"/>
      <c r="J111" s="1796"/>
      <c r="K111" s="1796"/>
      <c r="L111" s="1796"/>
      <c r="M111" s="1796"/>
      <c r="N111" s="1796"/>
      <c r="O111" s="1796"/>
      <c r="P111" s="1796"/>
      <c r="Q111" s="926"/>
      <c r="R111" s="926"/>
      <c r="S111" s="926"/>
      <c r="T111" s="926"/>
    </row>
    <row r="112" spans="1:16" ht="16.5" customHeight="1">
      <c r="A112" s="954"/>
      <c r="B112" s="927"/>
      <c r="C112" s="927"/>
      <c r="D112" s="927"/>
      <c r="E112" s="927"/>
      <c r="F112" s="927"/>
      <c r="G112" s="927"/>
      <c r="H112" s="927"/>
      <c r="I112" s="927"/>
      <c r="J112" s="927"/>
      <c r="K112" s="927"/>
      <c r="L112" s="927"/>
      <c r="M112" s="927"/>
      <c r="N112" s="927"/>
      <c r="O112" s="927"/>
      <c r="P112" s="957"/>
    </row>
    <row r="113" spans="1:20" s="935" customFormat="1" ht="33.75" customHeight="1">
      <c r="A113" s="934" t="s">
        <v>581</v>
      </c>
      <c r="B113" s="1796" t="s">
        <v>582</v>
      </c>
      <c r="C113" s="1796"/>
      <c r="D113" s="1796"/>
      <c r="E113" s="1796"/>
      <c r="F113" s="1796"/>
      <c r="G113" s="1796"/>
      <c r="H113" s="1796"/>
      <c r="I113" s="1796"/>
      <c r="J113" s="1796"/>
      <c r="K113" s="1796"/>
      <c r="L113" s="1796"/>
      <c r="M113" s="1796"/>
      <c r="N113" s="1796"/>
      <c r="O113" s="1796"/>
      <c r="P113" s="1796"/>
      <c r="Q113" s="926"/>
      <c r="R113" s="926"/>
      <c r="S113" s="926"/>
      <c r="T113" s="926"/>
    </row>
    <row r="114" spans="1:16" ht="16.5" customHeight="1">
      <c r="A114" s="931" t="s">
        <v>583</v>
      </c>
      <c r="B114" s="1790"/>
      <c r="C114" s="1790"/>
      <c r="D114" s="1790"/>
      <c r="E114" s="1790"/>
      <c r="F114" s="1790"/>
      <c r="G114" s="1790"/>
      <c r="H114" s="1790"/>
      <c r="I114" s="1790"/>
      <c r="J114" s="1790"/>
      <c r="K114" s="1790"/>
      <c r="L114" s="1790"/>
      <c r="M114" s="1790"/>
      <c r="N114" s="1790"/>
      <c r="O114" s="1790"/>
      <c r="P114" s="1790"/>
    </row>
    <row r="115" spans="1:16" ht="16.5" customHeight="1">
      <c r="A115" s="931" t="s">
        <v>632</v>
      </c>
      <c r="B115" s="1790"/>
      <c r="C115" s="1790"/>
      <c r="D115" s="1790"/>
      <c r="E115" s="1790"/>
      <c r="F115" s="1790"/>
      <c r="G115" s="1790"/>
      <c r="H115" s="1790"/>
      <c r="I115" s="1790"/>
      <c r="J115" s="1790"/>
      <c r="K115" s="1790"/>
      <c r="L115" s="1790"/>
      <c r="M115" s="1790"/>
      <c r="N115" s="1790"/>
      <c r="O115" s="1790"/>
      <c r="P115" s="1790"/>
    </row>
    <row r="116" spans="1:16" ht="16.5" customHeight="1">
      <c r="A116" s="931" t="s">
        <v>633</v>
      </c>
      <c r="B116" s="1796">
        <f>'Anexo 1 _ BAL ORC'!C61</f>
        <v>89129573.28999996</v>
      </c>
      <c r="C116" s="1796"/>
      <c r="D116" s="1796"/>
      <c r="E116" s="1796"/>
      <c r="F116" s="1796"/>
      <c r="G116" s="1796"/>
      <c r="H116" s="1796"/>
      <c r="I116" s="1796"/>
      <c r="J116" s="1796"/>
      <c r="K116" s="1796"/>
      <c r="L116" s="1796"/>
      <c r="M116" s="1796"/>
      <c r="N116" s="1796"/>
      <c r="O116" s="1796"/>
      <c r="P116" s="1796"/>
    </row>
    <row r="117" spans="1:16" ht="16.5" customHeight="1">
      <c r="A117" s="931" t="s">
        <v>163</v>
      </c>
      <c r="B117" s="1790"/>
      <c r="C117" s="1790"/>
      <c r="D117" s="1790"/>
      <c r="E117" s="1790"/>
      <c r="F117" s="1790"/>
      <c r="G117" s="1790"/>
      <c r="H117" s="1790"/>
      <c r="I117" s="1790"/>
      <c r="J117" s="1790"/>
      <c r="K117" s="1790"/>
      <c r="L117" s="1790"/>
      <c r="M117" s="1790"/>
      <c r="N117" s="1790"/>
      <c r="O117" s="1790"/>
      <c r="P117" s="1790"/>
    </row>
    <row r="118" spans="1:20" s="37" customFormat="1" ht="15" customHeight="1">
      <c r="A118" s="263" t="str">
        <f>'Anexo 4 _ PREVID '!A154</f>
        <v>FONTE: SECRETARIA MUNICIPAL DA FAZENDA</v>
      </c>
      <c r="B118" s="40"/>
      <c r="C118" s="40"/>
      <c r="D118" s="33"/>
      <c r="E118" s="33"/>
      <c r="O118" s="42"/>
      <c r="P118" s="88"/>
      <c r="Q118" s="88"/>
      <c r="R118" s="88"/>
      <c r="S118" s="88"/>
      <c r="T118" s="88"/>
    </row>
    <row r="119" spans="1:23" s="37" customFormat="1" ht="15" customHeight="1">
      <c r="A119" s="455" t="str">
        <f>'Anexo 4 _ PREVID '!A156</f>
        <v>  São Luís,  de Janeiro de 2021.</v>
      </c>
      <c r="B119" s="40"/>
      <c r="C119" s="40"/>
      <c r="D119" s="33"/>
      <c r="E119" s="33"/>
      <c r="O119" s="42"/>
      <c r="P119" s="88"/>
      <c r="Q119" s="88"/>
      <c r="R119" s="88"/>
      <c r="S119" s="88"/>
      <c r="T119" s="88"/>
      <c r="W119" s="67"/>
    </row>
    <row r="120" spans="1:20" s="37" customFormat="1" ht="15" customHeight="1">
      <c r="A120" s="41"/>
      <c r="B120" s="28"/>
      <c r="C120" s="25"/>
      <c r="D120" s="25"/>
      <c r="E120" s="77"/>
      <c r="O120" s="42"/>
      <c r="P120" s="88"/>
      <c r="Q120" s="88"/>
      <c r="R120" s="88"/>
      <c r="S120" s="88"/>
      <c r="T120" s="88"/>
    </row>
    <row r="121" spans="1:16" s="418" customFormat="1" ht="12.75" customHeight="1">
      <c r="A121" s="246"/>
      <c r="B121" s="246"/>
      <c r="C121" s="246"/>
      <c r="D121" s="246"/>
      <c r="E121" s="246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</row>
    <row r="122" spans="1:16" s="453" customFormat="1" ht="15" customHeight="1">
      <c r="A122" s="451"/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2"/>
      <c r="P122" s="451"/>
    </row>
    <row r="123" spans="1:16" s="453" customFormat="1" ht="15" customHeight="1">
      <c r="A123" s="451"/>
      <c r="B123" s="451"/>
      <c r="C123" s="451"/>
      <c r="D123" s="451"/>
      <c r="E123" s="454"/>
      <c r="F123" s="451"/>
      <c r="G123" s="451"/>
      <c r="H123" s="451"/>
      <c r="I123" s="451"/>
      <c r="J123" s="451"/>
      <c r="K123" s="451"/>
      <c r="L123" s="451"/>
      <c r="M123" s="451"/>
      <c r="N123" s="451"/>
      <c r="O123" s="452"/>
      <c r="P123" s="451"/>
    </row>
    <row r="124" spans="1:16" s="453" customFormat="1" ht="15" customHeight="1">
      <c r="A124" s="451"/>
      <c r="B124" s="451"/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  <c r="O124" s="452"/>
      <c r="P124" s="451"/>
    </row>
    <row r="125" spans="1:16" s="453" customFormat="1" ht="15" customHeight="1">
      <c r="A125" s="451"/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2"/>
      <c r="P125" s="451"/>
    </row>
    <row r="126" spans="1:16" s="453" customFormat="1" ht="15" customHeight="1">
      <c r="A126" s="451"/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2"/>
      <c r="P126" s="451"/>
    </row>
    <row r="127" spans="1:16" s="453" customFormat="1" ht="15" customHeight="1">
      <c r="A127" s="451"/>
      <c r="B127" s="451"/>
      <c r="C127" s="451"/>
      <c r="D127" s="451"/>
      <c r="E127" s="451"/>
      <c r="F127" s="451"/>
      <c r="G127" s="451"/>
      <c r="H127" s="451"/>
      <c r="I127" s="451"/>
      <c r="J127" s="451"/>
      <c r="K127" s="451"/>
      <c r="L127" s="451"/>
      <c r="M127" s="451"/>
      <c r="N127" s="451"/>
      <c r="O127" s="452"/>
      <c r="P127" s="451"/>
    </row>
    <row r="128" spans="1:16" s="453" customFormat="1" ht="15" customHeight="1">
      <c r="A128" s="451"/>
      <c r="B128" s="451"/>
      <c r="C128" s="451"/>
      <c r="D128" s="451"/>
      <c r="E128" s="451"/>
      <c r="F128" s="451"/>
      <c r="G128" s="451"/>
      <c r="H128" s="451"/>
      <c r="I128" s="451"/>
      <c r="J128" s="451"/>
      <c r="K128" s="451"/>
      <c r="L128" s="451"/>
      <c r="M128" s="451"/>
      <c r="N128" s="451"/>
      <c r="O128" s="452"/>
      <c r="P128" s="451"/>
    </row>
    <row r="129" spans="1:16" s="453" customFormat="1" ht="15" customHeight="1">
      <c r="A129" s="451"/>
      <c r="B129" s="451"/>
      <c r="C129" s="451"/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  <c r="O129" s="452"/>
      <c r="P129" s="451"/>
    </row>
    <row r="130" spans="1:16" s="453" customFormat="1" ht="15" customHeight="1">
      <c r="A130" s="263"/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2"/>
      <c r="P130" s="451"/>
    </row>
  </sheetData>
  <sheetProtection/>
  <mergeCells count="153">
    <mergeCell ref="B107:P107"/>
    <mergeCell ref="B14:C14"/>
    <mergeCell ref="B15:C15"/>
    <mergeCell ref="B16:C16"/>
    <mergeCell ref="B17:C17"/>
    <mergeCell ref="B99:P99"/>
    <mergeCell ref="B98:G98"/>
    <mergeCell ref="B92:G92"/>
    <mergeCell ref="B93:G93"/>
    <mergeCell ref="B94:G94"/>
    <mergeCell ref="B95:G95"/>
    <mergeCell ref="B96:G96"/>
    <mergeCell ref="B97:G97"/>
    <mergeCell ref="H97:J97"/>
    <mergeCell ref="K97:M97"/>
    <mergeCell ref="N97:P97"/>
    <mergeCell ref="H98:J98"/>
    <mergeCell ref="K98:M98"/>
    <mergeCell ref="N98:P98"/>
    <mergeCell ref="H95:J95"/>
    <mergeCell ref="K95:M95"/>
    <mergeCell ref="N95:P95"/>
    <mergeCell ref="H96:J96"/>
    <mergeCell ref="K96:M96"/>
    <mergeCell ref="N96:P96"/>
    <mergeCell ref="K93:M93"/>
    <mergeCell ref="N93:P93"/>
    <mergeCell ref="H94:J94"/>
    <mergeCell ref="K94:M94"/>
    <mergeCell ref="N94:P94"/>
    <mergeCell ref="H93:J93"/>
    <mergeCell ref="B101:P101"/>
    <mergeCell ref="B102:P102"/>
    <mergeCell ref="D11:P11"/>
    <mergeCell ref="B23:C23"/>
    <mergeCell ref="B24:C24"/>
    <mergeCell ref="B25:C25"/>
    <mergeCell ref="B26:C26"/>
    <mergeCell ref="B27:C27"/>
    <mergeCell ref="B28:C28"/>
    <mergeCell ref="D23:P23"/>
    <mergeCell ref="K92:M92"/>
    <mergeCell ref="B84:P84"/>
    <mergeCell ref="B91:E91"/>
    <mergeCell ref="N91:P91"/>
    <mergeCell ref="N92:P92"/>
    <mergeCell ref="A89:P89"/>
    <mergeCell ref="B90:P90"/>
    <mergeCell ref="A90:A91"/>
    <mergeCell ref="A76:A77"/>
    <mergeCell ref="B76:P76"/>
    <mergeCell ref="B77:P77"/>
    <mergeCell ref="B78:P78"/>
    <mergeCell ref="B79:P79"/>
    <mergeCell ref="B81:P81"/>
    <mergeCell ref="B37:C37"/>
    <mergeCell ref="D9:P9"/>
    <mergeCell ref="B74:P74"/>
    <mergeCell ref="B71:P71"/>
    <mergeCell ref="B73:P73"/>
    <mergeCell ref="D42:P42"/>
    <mergeCell ref="D37:P37"/>
    <mergeCell ref="D38:P38"/>
    <mergeCell ref="B29:C29"/>
    <mergeCell ref="B13:C13"/>
    <mergeCell ref="D47:P47"/>
    <mergeCell ref="B30:C30"/>
    <mergeCell ref="B44:C44"/>
    <mergeCell ref="B45:C45"/>
    <mergeCell ref="B48:C48"/>
    <mergeCell ref="B31:C31"/>
    <mergeCell ref="B32:C32"/>
    <mergeCell ref="B33:C33"/>
    <mergeCell ref="B35:C35"/>
    <mergeCell ref="B36:C36"/>
    <mergeCell ref="A50:A52"/>
    <mergeCell ref="B50:B52"/>
    <mergeCell ref="B9:C10"/>
    <mergeCell ref="B11:C11"/>
    <mergeCell ref="B12:C12"/>
    <mergeCell ref="B18:C18"/>
    <mergeCell ref="B38:C38"/>
    <mergeCell ref="B49:C49"/>
    <mergeCell ref="B42:C42"/>
    <mergeCell ref="B43:C43"/>
    <mergeCell ref="A1:E1"/>
    <mergeCell ref="A2:E2"/>
    <mergeCell ref="A9:A10"/>
    <mergeCell ref="D10:P10"/>
    <mergeCell ref="B34:C34"/>
    <mergeCell ref="D46:P46"/>
    <mergeCell ref="B19:C19"/>
    <mergeCell ref="B20:C20"/>
    <mergeCell ref="B21:C21"/>
    <mergeCell ref="B22:C22"/>
    <mergeCell ref="A8:P8"/>
    <mergeCell ref="D18:P18"/>
    <mergeCell ref="D19:P19"/>
    <mergeCell ref="D22:P22"/>
    <mergeCell ref="D31:P31"/>
    <mergeCell ref="D35:P35"/>
    <mergeCell ref="D12:P12"/>
    <mergeCell ref="D13:P13"/>
    <mergeCell ref="D14:P14"/>
    <mergeCell ref="D15:P15"/>
    <mergeCell ref="D16:P16"/>
    <mergeCell ref="D17:P17"/>
    <mergeCell ref="D30:P30"/>
    <mergeCell ref="D32:P32"/>
    <mergeCell ref="D33:P33"/>
    <mergeCell ref="D36:P36"/>
    <mergeCell ref="D24:P24"/>
    <mergeCell ref="D25:P25"/>
    <mergeCell ref="D26:P26"/>
    <mergeCell ref="D27:P27"/>
    <mergeCell ref="D44:P44"/>
    <mergeCell ref="D45:P45"/>
    <mergeCell ref="D29:P29"/>
    <mergeCell ref="D21:P21"/>
    <mergeCell ref="D20:P20"/>
    <mergeCell ref="D34:P34"/>
    <mergeCell ref="D43:P43"/>
    <mergeCell ref="D28:P28"/>
    <mergeCell ref="D48:P48"/>
    <mergeCell ref="D49:P49"/>
    <mergeCell ref="B39:C39"/>
    <mergeCell ref="B40:C40"/>
    <mergeCell ref="B41:C41"/>
    <mergeCell ref="D39:P39"/>
    <mergeCell ref="D40:P40"/>
    <mergeCell ref="D41:P41"/>
    <mergeCell ref="B46:C46"/>
    <mergeCell ref="B47:C47"/>
    <mergeCell ref="B115:P115"/>
    <mergeCell ref="B116:P116"/>
    <mergeCell ref="B117:P117"/>
    <mergeCell ref="B103:P103"/>
    <mergeCell ref="B104:P104"/>
    <mergeCell ref="B109:P109"/>
    <mergeCell ref="B111:P111"/>
    <mergeCell ref="B113:P113"/>
    <mergeCell ref="B114:P114"/>
    <mergeCell ref="B105:P105"/>
    <mergeCell ref="B106:P106"/>
    <mergeCell ref="B108:P108"/>
    <mergeCell ref="C50:P50"/>
    <mergeCell ref="C51:C52"/>
    <mergeCell ref="D51:D52"/>
    <mergeCell ref="E51:E52"/>
    <mergeCell ref="N51:N52"/>
    <mergeCell ref="O51:P51"/>
    <mergeCell ref="B83:P83"/>
    <mergeCell ref="H92:J92"/>
  </mergeCells>
  <printOptions horizontalCentered="1"/>
  <pageMargins left="0.1968503937007874" right="0.2755905511811024" top="0.7874015748031497" bottom="0.3937007874015748" header="0.5118110236220472" footer="0.5118110236220472"/>
  <pageSetup horizontalDpi="600" verticalDpi="600" orientation="landscape" paperSize="9" scale="58" r:id="rId2"/>
  <headerFooter scaleWithDoc="0">
    <oddFooter>&amp;L&amp;8Publicação: Diário Oficial do Município nº 19
Data: 28.01.2021
&amp;R&amp;8&amp;P / &amp;N</oddFooter>
  </headerFooter>
  <rowBreaks count="2" manualBreakCount="2">
    <brk id="49" max="15" man="1"/>
    <brk id="87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7.8515625" defaultRowHeight="12.75"/>
  <cols>
    <col min="1" max="1" width="25.00390625" style="43" customWidth="1"/>
    <col min="2" max="4" width="17.28125" style="43" customWidth="1"/>
    <col min="5" max="5" width="17.28125" style="44" customWidth="1"/>
    <col min="6" max="7" width="17.28125" style="43" customWidth="1"/>
    <col min="8" max="16384" width="7.8515625" style="43" customWidth="1"/>
  </cols>
  <sheetData>
    <row r="1" spans="1:7" ht="11.25">
      <c r="A1" s="1882" t="s">
        <v>178</v>
      </c>
      <c r="B1" s="1882"/>
      <c r="C1" s="1882"/>
      <c r="D1" s="1882"/>
      <c r="E1" s="1882"/>
      <c r="F1" s="1882"/>
      <c r="G1" s="31" t="s">
        <v>179</v>
      </c>
    </row>
    <row r="2" spans="1:7" ht="11.25">
      <c r="A2" s="1882" t="s">
        <v>0</v>
      </c>
      <c r="B2" s="1882"/>
      <c r="C2" s="1882"/>
      <c r="D2" s="1882"/>
      <c r="E2" s="1882"/>
      <c r="F2" s="1882"/>
      <c r="G2" s="1882"/>
    </row>
    <row r="3" spans="1:7" ht="11.25">
      <c r="A3" s="1884" t="s">
        <v>180</v>
      </c>
      <c r="B3" s="1884"/>
      <c r="C3" s="1884"/>
      <c r="D3" s="1884"/>
      <c r="E3" s="1884"/>
      <c r="F3" s="1884"/>
      <c r="G3" s="1884"/>
    </row>
    <row r="4" spans="1:7" ht="11.25">
      <c r="A4" s="1882" t="s">
        <v>143</v>
      </c>
      <c r="B4" s="1882"/>
      <c r="C4" s="1882"/>
      <c r="D4" s="1882"/>
      <c r="E4" s="1882"/>
      <c r="F4" s="1882"/>
      <c r="G4" s="1882"/>
    </row>
    <row r="5" spans="1:7" ht="11.25">
      <c r="A5" s="1882" t="s">
        <v>181</v>
      </c>
      <c r="B5" s="1882"/>
      <c r="C5" s="1882"/>
      <c r="D5" s="1882"/>
      <c r="E5" s="1882"/>
      <c r="F5" s="1882"/>
      <c r="G5" s="1882"/>
    </row>
    <row r="6" spans="1:7" ht="11.25">
      <c r="A6" s="37"/>
      <c r="B6" s="37"/>
      <c r="C6" s="37"/>
      <c r="D6" s="37"/>
      <c r="E6" s="37"/>
      <c r="F6" s="37"/>
      <c r="G6" s="37"/>
    </row>
    <row r="8" ht="12.75" customHeight="1">
      <c r="A8" s="43" t="s">
        <v>182</v>
      </c>
    </row>
    <row r="9" spans="1:7" s="47" customFormat="1" ht="36" customHeight="1">
      <c r="A9" s="1883" t="s">
        <v>183</v>
      </c>
      <c r="B9" s="45" t="s">
        <v>184</v>
      </c>
      <c r="C9" s="45" t="s">
        <v>185</v>
      </c>
      <c r="D9" s="45" t="s">
        <v>186</v>
      </c>
      <c r="E9" s="45" t="s">
        <v>187</v>
      </c>
      <c r="F9" s="45" t="s">
        <v>188</v>
      </c>
      <c r="G9" s="46" t="s">
        <v>189</v>
      </c>
    </row>
    <row r="10" spans="1:7" ht="11.25" customHeight="1">
      <c r="A10" s="1883"/>
      <c r="B10" s="48" t="s">
        <v>63</v>
      </c>
      <c r="C10" s="48" t="s">
        <v>63</v>
      </c>
      <c r="D10" s="48" t="s">
        <v>63</v>
      </c>
      <c r="E10" s="48" t="s">
        <v>63</v>
      </c>
      <c r="F10" s="48" t="s">
        <v>63</v>
      </c>
      <c r="G10" s="49" t="s">
        <v>63</v>
      </c>
    </row>
    <row r="11" spans="1:7" ht="12.75" customHeight="1">
      <c r="A11" s="50"/>
      <c r="B11" s="51"/>
      <c r="C11" s="51"/>
      <c r="D11" s="51"/>
      <c r="E11" s="51"/>
      <c r="F11" s="51"/>
      <c r="G11" s="52"/>
    </row>
    <row r="12" spans="1:7" ht="12.75" customHeight="1">
      <c r="A12" s="50"/>
      <c r="B12" s="51"/>
      <c r="C12" s="51"/>
      <c r="D12" s="51"/>
      <c r="E12" s="51"/>
      <c r="F12" s="51"/>
      <c r="G12" s="52"/>
    </row>
    <row r="13" spans="1:7" ht="12.75" customHeight="1">
      <c r="A13" s="50"/>
      <c r="B13" s="51"/>
      <c r="C13" s="51"/>
      <c r="D13" s="51"/>
      <c r="E13" s="51"/>
      <c r="F13" s="51"/>
      <c r="G13" s="52"/>
    </row>
    <row r="14" spans="1:7" ht="12.75" customHeight="1">
      <c r="A14" s="50"/>
      <c r="B14" s="51"/>
      <c r="C14" s="51"/>
      <c r="D14" s="51"/>
      <c r="E14" s="51"/>
      <c r="F14" s="51"/>
      <c r="G14" s="52"/>
    </row>
    <row r="15" spans="1:7" ht="12.75" customHeight="1">
      <c r="A15" s="50"/>
      <c r="B15" s="51"/>
      <c r="C15" s="51"/>
      <c r="D15" s="51"/>
      <c r="E15" s="51"/>
      <c r="F15" s="51"/>
      <c r="G15" s="52"/>
    </row>
    <row r="16" spans="1:7" ht="12.75" customHeight="1">
      <c r="A16" s="50"/>
      <c r="B16" s="51"/>
      <c r="C16" s="51"/>
      <c r="D16" s="51"/>
      <c r="E16" s="51"/>
      <c r="F16" s="51"/>
      <c r="G16" s="52"/>
    </row>
    <row r="17" spans="1:7" ht="12.75" customHeight="1">
      <c r="A17" s="50"/>
      <c r="B17" s="51"/>
      <c r="C17" s="51"/>
      <c r="D17" s="51"/>
      <c r="E17" s="51"/>
      <c r="F17" s="51"/>
      <c r="G17" s="52"/>
    </row>
    <row r="18" spans="1:7" ht="12.75" customHeight="1">
      <c r="A18" s="50"/>
      <c r="B18" s="51"/>
      <c r="C18" s="51"/>
      <c r="D18" s="51"/>
      <c r="E18" s="51"/>
      <c r="F18" s="51"/>
      <c r="G18" s="52"/>
    </row>
    <row r="19" spans="1:7" ht="12.75" customHeight="1">
      <c r="A19" s="50"/>
      <c r="B19" s="51"/>
      <c r="C19" s="51"/>
      <c r="D19" s="51"/>
      <c r="E19" s="51"/>
      <c r="F19" s="51"/>
      <c r="G19" s="52"/>
    </row>
    <row r="20" spans="1:7" ht="12.75" customHeight="1">
      <c r="A20" s="50"/>
      <c r="B20" s="51"/>
      <c r="C20" s="51"/>
      <c r="D20" s="51"/>
      <c r="E20" s="51"/>
      <c r="F20" s="51"/>
      <c r="G20" s="52"/>
    </row>
    <row r="21" spans="1:7" ht="12.75" customHeight="1">
      <c r="A21" s="50"/>
      <c r="B21" s="51"/>
      <c r="C21" s="51"/>
      <c r="D21" s="51"/>
      <c r="E21" s="51"/>
      <c r="F21" s="51"/>
      <c r="G21" s="52"/>
    </row>
    <row r="22" spans="1:7" ht="12.75" customHeight="1">
      <c r="A22" s="50"/>
      <c r="B22" s="51"/>
      <c r="C22" s="51"/>
      <c r="D22" s="51"/>
      <c r="E22" s="51"/>
      <c r="F22" s="51"/>
      <c r="G22" s="52"/>
    </row>
    <row r="23" spans="1:7" ht="12.75" customHeight="1">
      <c r="A23" s="50"/>
      <c r="B23" s="51"/>
      <c r="C23" s="51"/>
      <c r="D23" s="51"/>
      <c r="E23" s="51"/>
      <c r="F23" s="51"/>
      <c r="G23" s="52"/>
    </row>
    <row r="24" spans="1:7" ht="12.75" customHeight="1">
      <c r="A24" s="50"/>
      <c r="B24" s="51"/>
      <c r="C24" s="51"/>
      <c r="D24" s="51"/>
      <c r="E24" s="51"/>
      <c r="F24" s="51"/>
      <c r="G24" s="52"/>
    </row>
    <row r="25" spans="1:7" ht="12.75" customHeight="1">
      <c r="A25" s="50"/>
      <c r="B25" s="51"/>
      <c r="C25" s="51"/>
      <c r="D25" s="51"/>
      <c r="E25" s="51"/>
      <c r="F25" s="51"/>
      <c r="G25" s="52"/>
    </row>
    <row r="26" spans="1:7" ht="12.75" customHeight="1">
      <c r="A26" s="50"/>
      <c r="B26" s="51"/>
      <c r="C26" s="51"/>
      <c r="D26" s="51"/>
      <c r="E26" s="51"/>
      <c r="F26" s="51"/>
      <c r="G26" s="52"/>
    </row>
    <row r="27" spans="1:7" ht="12.75" customHeight="1">
      <c r="A27" s="50"/>
      <c r="B27" s="51"/>
      <c r="C27" s="51"/>
      <c r="D27" s="51"/>
      <c r="E27" s="51"/>
      <c r="F27" s="51"/>
      <c r="G27" s="52"/>
    </row>
    <row r="28" spans="1:7" ht="12.75" customHeight="1">
      <c r="A28" s="50"/>
      <c r="B28" s="51"/>
      <c r="C28" s="51"/>
      <c r="D28" s="51"/>
      <c r="E28" s="51"/>
      <c r="F28" s="51"/>
      <c r="G28" s="52"/>
    </row>
    <row r="29" spans="1:7" ht="12.75" customHeight="1">
      <c r="A29" s="50"/>
      <c r="B29" s="51"/>
      <c r="C29" s="51"/>
      <c r="D29" s="51"/>
      <c r="E29" s="51"/>
      <c r="F29" s="51"/>
      <c r="G29" s="52"/>
    </row>
    <row r="30" spans="1:7" ht="12.75" customHeight="1">
      <c r="A30" s="50"/>
      <c r="B30" s="51"/>
      <c r="C30" s="51"/>
      <c r="D30" s="51"/>
      <c r="E30" s="51"/>
      <c r="F30" s="51"/>
      <c r="G30" s="52"/>
    </row>
    <row r="31" spans="1:7" ht="12.75" customHeight="1">
      <c r="A31" s="50"/>
      <c r="B31" s="51"/>
      <c r="C31" s="51"/>
      <c r="D31" s="51"/>
      <c r="E31" s="51"/>
      <c r="F31" s="51"/>
      <c r="G31" s="52"/>
    </row>
    <row r="32" spans="1:7" ht="12.75" customHeight="1">
      <c r="A32" s="50"/>
      <c r="B32" s="51"/>
      <c r="C32" s="51"/>
      <c r="D32" s="51"/>
      <c r="E32" s="51"/>
      <c r="F32" s="51"/>
      <c r="G32" s="52"/>
    </row>
    <row r="33" spans="1:7" ht="12.75" customHeight="1">
      <c r="A33" s="50"/>
      <c r="B33" s="51"/>
      <c r="C33" s="51"/>
      <c r="D33" s="51"/>
      <c r="E33" s="51"/>
      <c r="F33" s="51"/>
      <c r="G33" s="52"/>
    </row>
    <row r="34" spans="1:7" ht="12.75" customHeight="1">
      <c r="A34" s="53"/>
      <c r="B34" s="54"/>
      <c r="C34" s="54"/>
      <c r="D34" s="54"/>
      <c r="E34" s="54"/>
      <c r="F34" s="54"/>
      <c r="G34" s="55"/>
    </row>
    <row r="35" spans="1:7" ht="11.25">
      <c r="A35" s="43" t="s">
        <v>190</v>
      </c>
      <c r="G35" s="31"/>
    </row>
  </sheetData>
  <sheetProtection/>
  <mergeCells count="6">
    <mergeCell ref="A5:G5"/>
    <mergeCell ref="A9:A10"/>
    <mergeCell ref="A1:F1"/>
    <mergeCell ref="A2:G2"/>
    <mergeCell ref="A3:G3"/>
    <mergeCell ref="A4:G4"/>
  </mergeCells>
  <printOptions horizontalCentered="1"/>
  <pageMargins left="0.3298611111111111" right="0.3402777777777778" top="0.5902777777777778" bottom="0.39305555555555555" header="0.5118055555555556" footer="0.19652777777777777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77"/>
  <sheetViews>
    <sheetView showGridLines="0" view="pageBreakPreview" zoomScale="110" zoomScaleSheetLayoutView="110" zoomScalePageLayoutView="0" workbookViewId="0" topLeftCell="B37">
      <selection activeCell="B51" sqref="B51"/>
    </sheetView>
  </sheetViews>
  <sheetFormatPr defaultColWidth="8.8515625" defaultRowHeight="12.75"/>
  <cols>
    <col min="1" max="1" width="60.00390625" style="353" customWidth="1"/>
    <col min="2" max="2" width="15.7109375" style="250" customWidth="1"/>
    <col min="3" max="4" width="16.57421875" style="250" customWidth="1"/>
    <col min="5" max="5" width="15.421875" style="250" customWidth="1"/>
    <col min="6" max="6" width="17.140625" style="250" customWidth="1"/>
    <col min="7" max="7" width="16.00390625" style="250" customWidth="1"/>
    <col min="8" max="8" width="16.7109375" style="250" customWidth="1"/>
    <col min="9" max="10" width="15.8515625" style="250" customWidth="1"/>
    <col min="11" max="11" width="15.57421875" style="250" customWidth="1"/>
    <col min="12" max="12" width="16.00390625" style="250" customWidth="1"/>
    <col min="13" max="13" width="17.00390625" style="353" customWidth="1"/>
    <col min="14" max="14" width="20.140625" style="250" customWidth="1"/>
    <col min="15" max="15" width="20.57421875" style="250" customWidth="1"/>
    <col min="16" max="16384" width="8.8515625" style="250" customWidth="1"/>
  </cols>
  <sheetData>
    <row r="1" spans="1:12" ht="18.75" customHeight="1">
      <c r="A1" s="1885" t="s">
        <v>168</v>
      </c>
      <c r="B1" s="1885"/>
      <c r="C1" s="1885"/>
      <c r="D1" s="1885"/>
      <c r="E1" s="1885"/>
      <c r="F1" s="1886"/>
      <c r="G1" s="1886"/>
      <c r="H1" s="1886"/>
      <c r="I1" s="1886"/>
      <c r="J1" s="1886"/>
      <c r="K1" s="1886"/>
      <c r="L1" s="458"/>
    </row>
    <row r="2" spans="1:12" ht="18.75" customHeight="1">
      <c r="A2" s="1885" t="s">
        <v>0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458"/>
    </row>
    <row r="3" spans="1:12" ht="18.75" customHeight="1">
      <c r="A3" s="457" t="s">
        <v>191</v>
      </c>
      <c r="B3" s="459"/>
      <c r="C3" s="459"/>
      <c r="D3" s="459"/>
      <c r="E3" s="459"/>
      <c r="F3" s="459"/>
      <c r="G3" s="459"/>
      <c r="H3" s="459"/>
      <c r="I3" s="459"/>
      <c r="J3" s="460"/>
      <c r="K3" s="461"/>
      <c r="L3" s="458"/>
    </row>
    <row r="4" spans="1:12" ht="18.75" customHeight="1">
      <c r="A4" s="457" t="s">
        <v>1</v>
      </c>
      <c r="B4" s="462"/>
      <c r="C4" s="462"/>
      <c r="D4" s="462"/>
      <c r="E4" s="462"/>
      <c r="F4" s="462"/>
      <c r="G4" s="462"/>
      <c r="H4" s="462"/>
      <c r="I4" s="460"/>
      <c r="J4" s="458"/>
      <c r="K4" s="458"/>
      <c r="L4" s="458"/>
    </row>
    <row r="5" spans="1:12" ht="18.75" customHeight="1">
      <c r="A5" s="1887" t="str">
        <f>'Anexo 6 _ RES PRIM e NOM'!A5</f>
        <v>            Referência: JANEIRO-DEZEMBRO/2020; BIMESTRE: NOVEMBRO-DEZEMBRO/2020</v>
      </c>
      <c r="B5" s="1887"/>
      <c r="C5" s="1887"/>
      <c r="D5" s="1887"/>
      <c r="E5" s="1887"/>
      <c r="F5" s="1887"/>
      <c r="G5" s="463"/>
      <c r="H5" s="464"/>
      <c r="I5" s="465"/>
      <c r="J5" s="465"/>
      <c r="K5" s="466"/>
      <c r="L5" s="467"/>
    </row>
    <row r="6" spans="1:12" ht="17.25" customHeight="1">
      <c r="A6" s="468"/>
      <c r="B6" s="469"/>
      <c r="C6" s="470"/>
      <c r="D6" s="471"/>
      <c r="E6" s="472"/>
      <c r="F6" s="473"/>
      <c r="G6" s="473"/>
      <c r="H6" s="474"/>
      <c r="I6" s="466"/>
      <c r="J6" s="474"/>
      <c r="K6" s="466"/>
      <c r="L6" s="475"/>
    </row>
    <row r="7" spans="1:12" ht="13.5" customHeight="1">
      <c r="A7" s="476" t="s">
        <v>327</v>
      </c>
      <c r="B7" s="477"/>
      <c r="C7" s="470"/>
      <c r="D7" s="471"/>
      <c r="E7" s="472"/>
      <c r="F7" s="473"/>
      <c r="G7" s="473"/>
      <c r="H7" s="471"/>
      <c r="I7" s="466"/>
      <c r="J7" s="466"/>
      <c r="K7" s="471"/>
      <c r="L7" s="475"/>
    </row>
    <row r="8" spans="1:13" ht="19.5" customHeight="1">
      <c r="A8" s="1888" t="s">
        <v>192</v>
      </c>
      <c r="B8" s="1889" t="s">
        <v>252</v>
      </c>
      <c r="C8" s="1889"/>
      <c r="D8" s="1889"/>
      <c r="E8" s="1889"/>
      <c r="F8" s="1889"/>
      <c r="G8" s="1890" t="s">
        <v>283</v>
      </c>
      <c r="H8" s="1891"/>
      <c r="I8" s="1891"/>
      <c r="J8" s="1891"/>
      <c r="K8" s="1891"/>
      <c r="L8" s="1892"/>
      <c r="M8" s="1895" t="s">
        <v>945</v>
      </c>
    </row>
    <row r="9" spans="1:13" ht="19.5" customHeight="1" thickBot="1">
      <c r="A9" s="1888"/>
      <c r="B9" s="1902" t="s">
        <v>193</v>
      </c>
      <c r="C9" s="1902"/>
      <c r="D9" s="1893" t="s">
        <v>452</v>
      </c>
      <c r="E9" s="1893" t="s">
        <v>453</v>
      </c>
      <c r="F9" s="1893" t="s">
        <v>947</v>
      </c>
      <c r="G9" s="1900" t="s">
        <v>193</v>
      </c>
      <c r="H9" s="1901"/>
      <c r="I9" s="1893" t="s">
        <v>455</v>
      </c>
      <c r="J9" s="1893" t="s">
        <v>456</v>
      </c>
      <c r="K9" s="1893" t="s">
        <v>457</v>
      </c>
      <c r="L9" s="1893" t="s">
        <v>946</v>
      </c>
      <c r="M9" s="1896"/>
    </row>
    <row r="10" spans="1:13" ht="41.25" customHeight="1">
      <c r="A10" s="1888"/>
      <c r="B10" s="478" t="s">
        <v>451</v>
      </c>
      <c r="C10" s="894" t="s">
        <v>1009</v>
      </c>
      <c r="D10" s="1894"/>
      <c r="E10" s="1894"/>
      <c r="F10" s="1894"/>
      <c r="G10" s="478" t="s">
        <v>454</v>
      </c>
      <c r="H10" s="894" t="s">
        <v>1008</v>
      </c>
      <c r="I10" s="1894"/>
      <c r="J10" s="1894"/>
      <c r="K10" s="1894"/>
      <c r="L10" s="1894"/>
      <c r="M10" s="1897"/>
    </row>
    <row r="11" spans="1:13" s="345" customFormat="1" ht="19.5" customHeight="1">
      <c r="A11" s="1095" t="s">
        <v>194</v>
      </c>
      <c r="B11" s="1389">
        <f aca="true" t="shared" si="0" ref="B11:M11">B12+B14</f>
        <v>200979883.84</v>
      </c>
      <c r="C11" s="480">
        <f t="shared" si="0"/>
        <v>105688659.39</v>
      </c>
      <c r="D11" s="480">
        <f t="shared" si="0"/>
        <v>0</v>
      </c>
      <c r="E11" s="480">
        <f t="shared" si="0"/>
        <v>0</v>
      </c>
      <c r="F11" s="480">
        <f>B11+C11-D11-E11</f>
        <v>306668543.23</v>
      </c>
      <c r="G11" s="1389">
        <f t="shared" si="0"/>
        <v>109799905.50999999</v>
      </c>
      <c r="H11" s="480">
        <f t="shared" si="0"/>
        <v>250707234.92000002</v>
      </c>
      <c r="I11" s="1389">
        <f t="shared" si="0"/>
        <v>0</v>
      </c>
      <c r="J11" s="1389">
        <f t="shared" si="0"/>
        <v>0</v>
      </c>
      <c r="K11" s="1389">
        <f t="shared" si="0"/>
        <v>0</v>
      </c>
      <c r="L11" s="481">
        <f>G11+H11-J11-K11</f>
        <v>360507140.43</v>
      </c>
      <c r="M11" s="1104">
        <f t="shared" si="0"/>
        <v>667175683.6599998</v>
      </c>
    </row>
    <row r="12" spans="1:13" s="345" customFormat="1" ht="19.5" customHeight="1">
      <c r="A12" s="1357" t="s">
        <v>284</v>
      </c>
      <c r="B12" s="1178">
        <f>B13</f>
        <v>0</v>
      </c>
      <c r="C12" s="1358">
        <f>C13</f>
        <v>0</v>
      </c>
      <c r="D12" s="480">
        <f>D13</f>
        <v>0</v>
      </c>
      <c r="E12" s="480">
        <f>E13</f>
        <v>0</v>
      </c>
      <c r="F12" s="1178">
        <f aca="true" t="shared" si="1" ref="F12:M12">F13</f>
        <v>0</v>
      </c>
      <c r="G12" s="1359">
        <f t="shared" si="1"/>
        <v>0</v>
      </c>
      <c r="H12" s="1359">
        <f t="shared" si="1"/>
        <v>0</v>
      </c>
      <c r="I12" s="480">
        <f t="shared" si="1"/>
        <v>0</v>
      </c>
      <c r="J12" s="1389">
        <f t="shared" si="1"/>
        <v>0</v>
      </c>
      <c r="K12" s="480">
        <f t="shared" si="1"/>
        <v>0</v>
      </c>
      <c r="L12" s="1360">
        <f>L13</f>
        <v>0</v>
      </c>
      <c r="M12" s="1361">
        <f t="shared" si="1"/>
        <v>0</v>
      </c>
    </row>
    <row r="13" spans="1:14" ht="19.5" customHeight="1">
      <c r="A13" s="1096" t="s">
        <v>195</v>
      </c>
      <c r="B13" s="482">
        <v>0</v>
      </c>
      <c r="C13" s="483">
        <v>0</v>
      </c>
      <c r="D13" s="479">
        <v>0</v>
      </c>
      <c r="E13" s="479">
        <v>0</v>
      </c>
      <c r="F13" s="482">
        <f>B13+C13-D13-E13</f>
        <v>0</v>
      </c>
      <c r="G13" s="482">
        <v>0</v>
      </c>
      <c r="H13" s="482">
        <v>0</v>
      </c>
      <c r="I13" s="479">
        <v>0</v>
      </c>
      <c r="J13" s="1388">
        <v>0</v>
      </c>
      <c r="K13" s="479">
        <v>0</v>
      </c>
      <c r="L13" s="484">
        <f>G13+H13-J13-K13</f>
        <v>0</v>
      </c>
      <c r="M13" s="1105">
        <f aca="true" t="shared" si="2" ref="M13:M59">F13+L13</f>
        <v>0</v>
      </c>
      <c r="N13" s="394"/>
    </row>
    <row r="14" spans="1:14" s="345" customFormat="1" ht="19.5" customHeight="1">
      <c r="A14" s="1097" t="s">
        <v>196</v>
      </c>
      <c r="B14" s="873">
        <f aca="true" t="shared" si="3" ref="B14:M14">B15+B44</f>
        <v>200979883.84</v>
      </c>
      <c r="C14" s="874">
        <f t="shared" si="3"/>
        <v>105688659.39</v>
      </c>
      <c r="D14" s="480">
        <f t="shared" si="3"/>
        <v>0</v>
      </c>
      <c r="E14" s="480">
        <f t="shared" si="3"/>
        <v>0</v>
      </c>
      <c r="F14" s="875">
        <f t="shared" si="3"/>
        <v>306668543.22999996</v>
      </c>
      <c r="G14" s="873">
        <f t="shared" si="3"/>
        <v>109799905.50999999</v>
      </c>
      <c r="H14" s="873">
        <f t="shared" si="3"/>
        <v>250707234.92000002</v>
      </c>
      <c r="I14" s="1401">
        <f t="shared" si="3"/>
        <v>0</v>
      </c>
      <c r="J14" s="1401">
        <f t="shared" si="3"/>
        <v>0</v>
      </c>
      <c r="K14" s="1401">
        <f t="shared" si="3"/>
        <v>0</v>
      </c>
      <c r="L14" s="874">
        <f t="shared" si="3"/>
        <v>360507140.43</v>
      </c>
      <c r="M14" s="1106">
        <f t="shared" si="3"/>
        <v>667175683.6599998</v>
      </c>
      <c r="N14" s="876"/>
    </row>
    <row r="15" spans="1:15" s="345" customFormat="1" ht="19.5" customHeight="1">
      <c r="A15" s="1098" t="s">
        <v>285</v>
      </c>
      <c r="B15" s="485">
        <f>SUM(B16:B43)</f>
        <v>185846655.72</v>
      </c>
      <c r="C15" s="485">
        <f aca="true" t="shared" si="4" ref="C15:M15">SUM(C16:C43)</f>
        <v>57907741.559999995</v>
      </c>
      <c r="D15" s="485">
        <f t="shared" si="4"/>
        <v>0</v>
      </c>
      <c r="E15" s="485">
        <f t="shared" si="4"/>
        <v>0</v>
      </c>
      <c r="F15" s="485">
        <f t="shared" si="4"/>
        <v>243754397.27999997</v>
      </c>
      <c r="G15" s="485">
        <f t="shared" si="4"/>
        <v>105681890.47999999</v>
      </c>
      <c r="H15" s="1184">
        <f t="shared" si="4"/>
        <v>179865452.19000003</v>
      </c>
      <c r="I15" s="1172">
        <f t="shared" si="4"/>
        <v>0</v>
      </c>
      <c r="J15" s="1172">
        <f t="shared" si="4"/>
        <v>0</v>
      </c>
      <c r="K15" s="1172">
        <f t="shared" si="4"/>
        <v>0</v>
      </c>
      <c r="L15" s="1186">
        <f t="shared" si="4"/>
        <v>285547342.67</v>
      </c>
      <c r="M15" s="485">
        <f t="shared" si="4"/>
        <v>529301739.9499999</v>
      </c>
      <c r="N15" s="356"/>
      <c r="O15" s="870"/>
    </row>
    <row r="16" spans="1:14" ht="19.5" customHeight="1">
      <c r="A16" s="1099" t="s">
        <v>197</v>
      </c>
      <c r="B16" s="482">
        <v>22172.78</v>
      </c>
      <c r="C16" s="487">
        <f>531739.29-B16</f>
        <v>509566.51</v>
      </c>
      <c r="D16" s="487"/>
      <c r="E16" s="487"/>
      <c r="F16" s="488">
        <f>B16+C16-D16-E16</f>
        <v>531739.29</v>
      </c>
      <c r="G16" s="488">
        <v>0</v>
      </c>
      <c r="H16" s="1185">
        <v>297580.27</v>
      </c>
      <c r="I16" s="1169"/>
      <c r="J16" s="1169"/>
      <c r="K16" s="1169"/>
      <c r="L16" s="1187">
        <f>G16+H16-J16-K16</f>
        <v>297580.27</v>
      </c>
      <c r="M16" s="1107">
        <f t="shared" si="2"/>
        <v>829319.56</v>
      </c>
      <c r="N16" s="361"/>
    </row>
    <row r="17" spans="1:13" ht="19.5" customHeight="1">
      <c r="A17" s="1099" t="s">
        <v>198</v>
      </c>
      <c r="B17" s="482">
        <v>76098.44</v>
      </c>
      <c r="C17" s="487">
        <f>85513.44-B17</f>
        <v>9415</v>
      </c>
      <c r="D17" s="487"/>
      <c r="E17" s="487"/>
      <c r="F17" s="488">
        <f aca="true" t="shared" si="5" ref="F17:F43">B17+C17-D17-E17</f>
        <v>85513.44</v>
      </c>
      <c r="G17" s="488">
        <v>17492.34</v>
      </c>
      <c r="H17" s="1179">
        <f>17492.34-G17</f>
        <v>0</v>
      </c>
      <c r="I17" s="479"/>
      <c r="J17" s="479"/>
      <c r="K17" s="479"/>
      <c r="L17" s="489">
        <f aca="true" t="shared" si="6" ref="L17:L43">G17+H17-J17-K17</f>
        <v>17492.34</v>
      </c>
      <c r="M17" s="1107">
        <f t="shared" si="2"/>
        <v>103005.78</v>
      </c>
    </row>
    <row r="18" spans="1:13" ht="19.5" customHeight="1">
      <c r="A18" s="1099" t="s">
        <v>199</v>
      </c>
      <c r="B18" s="482">
        <v>77437.88</v>
      </c>
      <c r="C18" s="487">
        <f>88515.85-B18</f>
        <v>11077.970000000001</v>
      </c>
      <c r="D18" s="487"/>
      <c r="E18" s="487"/>
      <c r="F18" s="488">
        <f t="shared" si="5"/>
        <v>88515.85</v>
      </c>
      <c r="G18" s="488">
        <v>6738</v>
      </c>
      <c r="H18" s="488">
        <f>279697.71-G18</f>
        <v>272959.71</v>
      </c>
      <c r="I18" s="479"/>
      <c r="J18" s="479"/>
      <c r="K18" s="479"/>
      <c r="L18" s="886">
        <f>G18+H18-J18-K18</f>
        <v>279697.71</v>
      </c>
      <c r="M18" s="1107">
        <f t="shared" si="2"/>
        <v>368213.56000000006</v>
      </c>
    </row>
    <row r="19" spans="1:13" ht="19.5" customHeight="1">
      <c r="A19" s="1099" t="s">
        <v>200</v>
      </c>
      <c r="B19" s="482">
        <v>0</v>
      </c>
      <c r="C19" s="487">
        <v>0</v>
      </c>
      <c r="D19" s="487"/>
      <c r="E19" s="487"/>
      <c r="F19" s="488">
        <f t="shared" si="5"/>
        <v>0</v>
      </c>
      <c r="G19" s="488">
        <v>0</v>
      </c>
      <c r="H19" s="488">
        <f>17866-G19</f>
        <v>17866</v>
      </c>
      <c r="I19" s="479"/>
      <c r="J19" s="479"/>
      <c r="K19" s="479"/>
      <c r="L19" s="489">
        <f t="shared" si="6"/>
        <v>17866</v>
      </c>
      <c r="M19" s="1107">
        <f t="shared" si="2"/>
        <v>17866</v>
      </c>
    </row>
    <row r="20" spans="1:13" ht="19.5" customHeight="1">
      <c r="A20" s="1099" t="s">
        <v>286</v>
      </c>
      <c r="B20" s="482">
        <v>153402.92</v>
      </c>
      <c r="C20" s="487">
        <f>153402.92-B20</f>
        <v>0</v>
      </c>
      <c r="D20" s="487"/>
      <c r="E20" s="487"/>
      <c r="F20" s="488">
        <f t="shared" si="5"/>
        <v>153402.92</v>
      </c>
      <c r="G20" s="488">
        <v>3973.5</v>
      </c>
      <c r="H20" s="488">
        <f>3973.5-G20</f>
        <v>0</v>
      </c>
      <c r="I20" s="479"/>
      <c r="J20" s="479"/>
      <c r="K20" s="479"/>
      <c r="L20" s="489">
        <f t="shared" si="6"/>
        <v>3973.5</v>
      </c>
      <c r="M20" s="1107">
        <f t="shared" si="2"/>
        <v>157376.42</v>
      </c>
    </row>
    <row r="21" spans="1:13" ht="19.5" customHeight="1">
      <c r="A21" s="1099" t="s">
        <v>287</v>
      </c>
      <c r="B21" s="482">
        <v>1458.97</v>
      </c>
      <c r="C21" s="487">
        <f>1458.97-B21</f>
        <v>0</v>
      </c>
      <c r="D21" s="487"/>
      <c r="E21" s="487"/>
      <c r="F21" s="488">
        <f t="shared" si="5"/>
        <v>1458.97</v>
      </c>
      <c r="G21" s="1179">
        <v>13306</v>
      </c>
      <c r="H21" s="488">
        <f>13306-G21</f>
        <v>0</v>
      </c>
      <c r="I21" s="479"/>
      <c r="J21" s="479"/>
      <c r="K21" s="479"/>
      <c r="L21" s="489">
        <f t="shared" si="6"/>
        <v>13306</v>
      </c>
      <c r="M21" s="1107">
        <f t="shared" si="2"/>
        <v>14764.97</v>
      </c>
    </row>
    <row r="22" spans="1:13" ht="19.5" customHeight="1">
      <c r="A22" s="1099" t="s">
        <v>288</v>
      </c>
      <c r="B22" s="482">
        <v>490068.51</v>
      </c>
      <c r="C22" s="487">
        <f>776258.85-B22</f>
        <v>286190.33999999997</v>
      </c>
      <c r="D22" s="487"/>
      <c r="E22" s="487"/>
      <c r="F22" s="488">
        <f t="shared" si="5"/>
        <v>776258.85</v>
      </c>
      <c r="G22" s="488">
        <v>1152531.22</v>
      </c>
      <c r="H22" s="488">
        <f>1670528.72-G22</f>
        <v>517997.5</v>
      </c>
      <c r="I22" s="490"/>
      <c r="J22" s="479"/>
      <c r="K22" s="479"/>
      <c r="L22" s="489">
        <f t="shared" si="6"/>
        <v>1670528.72</v>
      </c>
      <c r="M22" s="1107">
        <f t="shared" si="2"/>
        <v>2446787.57</v>
      </c>
    </row>
    <row r="23" spans="1:14" ht="19.5" customHeight="1">
      <c r="A23" s="1099" t="s">
        <v>201</v>
      </c>
      <c r="B23" s="482">
        <v>0</v>
      </c>
      <c r="C23" s="487">
        <f>20650-B23</f>
        <v>20650</v>
      </c>
      <c r="D23" s="487"/>
      <c r="E23" s="487"/>
      <c r="F23" s="488">
        <f t="shared" si="5"/>
        <v>20650</v>
      </c>
      <c r="G23" s="488">
        <v>0</v>
      </c>
      <c r="H23" s="488">
        <f>109429.43</f>
        <v>109429.43</v>
      </c>
      <c r="I23" s="479"/>
      <c r="J23" s="479"/>
      <c r="K23" s="479"/>
      <c r="L23" s="489">
        <f t="shared" si="6"/>
        <v>109429.43</v>
      </c>
      <c r="M23" s="1107">
        <f t="shared" si="2"/>
        <v>130079.43</v>
      </c>
      <c r="N23" s="361"/>
    </row>
    <row r="24" spans="1:13" ht="19.5" customHeight="1">
      <c r="A24" s="1099" t="s">
        <v>202</v>
      </c>
      <c r="B24" s="482">
        <v>1047875.11</v>
      </c>
      <c r="C24" s="487">
        <f>1047875.11-B24</f>
        <v>0</v>
      </c>
      <c r="D24" s="487"/>
      <c r="E24" s="487"/>
      <c r="F24" s="488">
        <f t="shared" si="5"/>
        <v>1047875.11</v>
      </c>
      <c r="G24" s="1179">
        <v>25946.57</v>
      </c>
      <c r="H24" s="488">
        <f>579200.86-G24</f>
        <v>553254.29</v>
      </c>
      <c r="I24" s="479"/>
      <c r="J24" s="479"/>
      <c r="K24" s="488"/>
      <c r="L24" s="489">
        <f t="shared" si="6"/>
        <v>579200.86</v>
      </c>
      <c r="M24" s="1107">
        <f t="shared" si="2"/>
        <v>1627075.97</v>
      </c>
    </row>
    <row r="25" spans="1:14" ht="19.5" customHeight="1">
      <c r="A25" s="1099" t="s">
        <v>289</v>
      </c>
      <c r="B25" s="482">
        <v>46782992.91</v>
      </c>
      <c r="C25" s="487">
        <f>67513206.57-B25</f>
        <v>20730213.659999996</v>
      </c>
      <c r="D25" s="487"/>
      <c r="E25" s="487"/>
      <c r="F25" s="488">
        <f t="shared" si="5"/>
        <v>67513206.57</v>
      </c>
      <c r="G25" s="488">
        <v>7420117.65</v>
      </c>
      <c r="H25" s="488">
        <f>87631730.27-G25</f>
        <v>80211612.61999999</v>
      </c>
      <c r="I25" s="479"/>
      <c r="J25" s="479"/>
      <c r="K25" s="1388"/>
      <c r="L25" s="489">
        <f t="shared" si="6"/>
        <v>87631730.27</v>
      </c>
      <c r="M25" s="1107">
        <f t="shared" si="2"/>
        <v>155144936.83999997</v>
      </c>
      <c r="N25" s="361"/>
    </row>
    <row r="26" spans="1:14" ht="19.5" customHeight="1">
      <c r="A26" s="1099" t="s">
        <v>290</v>
      </c>
      <c r="B26" s="482">
        <v>53777275.58</v>
      </c>
      <c r="C26" s="487">
        <f>61349373.86-B26</f>
        <v>7572098.280000001</v>
      </c>
      <c r="D26" s="487"/>
      <c r="E26" s="487"/>
      <c r="F26" s="488">
        <f t="shared" si="5"/>
        <v>61349373.86</v>
      </c>
      <c r="G26" s="488">
        <v>81497787.1</v>
      </c>
      <c r="H26" s="488">
        <f>144165239.67-G26</f>
        <v>62667452.56999999</v>
      </c>
      <c r="I26" s="479"/>
      <c r="J26" s="479"/>
      <c r="K26" s="487"/>
      <c r="L26" s="489">
        <f t="shared" si="6"/>
        <v>144165239.67</v>
      </c>
      <c r="M26" s="1107">
        <f t="shared" si="2"/>
        <v>205514613.52999997</v>
      </c>
      <c r="N26" s="361"/>
    </row>
    <row r="27" spans="1:13" ht="19.5" customHeight="1">
      <c r="A27" s="1099" t="s">
        <v>291</v>
      </c>
      <c r="B27" s="482">
        <v>192771.19</v>
      </c>
      <c r="C27" s="487">
        <f>1236567.87-B27</f>
        <v>1043796.6800000002</v>
      </c>
      <c r="D27" s="487"/>
      <c r="E27" s="487"/>
      <c r="F27" s="488">
        <f t="shared" si="5"/>
        <v>1236567.87</v>
      </c>
      <c r="G27" s="488">
        <v>5175109.67</v>
      </c>
      <c r="H27" s="488">
        <f>9779871.61-G27</f>
        <v>4604761.9399999995</v>
      </c>
      <c r="I27" s="479"/>
      <c r="J27" s="479"/>
      <c r="K27" s="487"/>
      <c r="L27" s="489">
        <f t="shared" si="6"/>
        <v>9779871.61</v>
      </c>
      <c r="M27" s="1107">
        <f t="shared" si="2"/>
        <v>11016439.48</v>
      </c>
    </row>
    <row r="28" spans="1:13" ht="19.5" customHeight="1">
      <c r="A28" s="1099" t="s">
        <v>292</v>
      </c>
      <c r="B28" s="482">
        <v>102681.59</v>
      </c>
      <c r="C28" s="487">
        <f>524059.72-B28</f>
        <v>421378.13</v>
      </c>
      <c r="D28" s="487"/>
      <c r="E28" s="487"/>
      <c r="F28" s="488">
        <f t="shared" si="5"/>
        <v>524059.72</v>
      </c>
      <c r="G28" s="488">
        <v>0</v>
      </c>
      <c r="H28" s="488">
        <f>149524.86</f>
        <v>149524.86</v>
      </c>
      <c r="I28" s="479"/>
      <c r="J28" s="479"/>
      <c r="K28" s="479"/>
      <c r="L28" s="489">
        <f t="shared" si="6"/>
        <v>149524.86</v>
      </c>
      <c r="M28" s="1107">
        <f t="shared" si="2"/>
        <v>673584.58</v>
      </c>
    </row>
    <row r="29" spans="1:13" ht="19.5" customHeight="1">
      <c r="A29" s="1099" t="s">
        <v>727</v>
      </c>
      <c r="B29" s="482">
        <f>12500+22947.6</f>
        <v>35447.6</v>
      </c>
      <c r="C29" s="487">
        <f>58925+22947.6-B29</f>
        <v>46425.00000000001</v>
      </c>
      <c r="D29" s="487"/>
      <c r="E29" s="487"/>
      <c r="F29" s="488">
        <f t="shared" si="5"/>
        <v>81872.6</v>
      </c>
      <c r="G29" s="1179">
        <v>0</v>
      </c>
      <c r="H29" s="1179">
        <v>0.01</v>
      </c>
      <c r="I29" s="479"/>
      <c r="J29" s="479"/>
      <c r="K29" s="479"/>
      <c r="L29" s="489">
        <f t="shared" si="6"/>
        <v>0.01</v>
      </c>
      <c r="M29" s="1107">
        <f t="shared" si="2"/>
        <v>81872.61</v>
      </c>
    </row>
    <row r="30" spans="1:14" ht="19.5" customHeight="1">
      <c r="A30" s="1099" t="s">
        <v>293</v>
      </c>
      <c r="B30" s="482">
        <v>15339.89</v>
      </c>
      <c r="C30" s="491">
        <f>57348.26-B30</f>
        <v>42008.37</v>
      </c>
      <c r="D30" s="487"/>
      <c r="E30" s="487"/>
      <c r="F30" s="488">
        <f t="shared" si="5"/>
        <v>57348.26</v>
      </c>
      <c r="G30" s="1179">
        <v>22688.71</v>
      </c>
      <c r="H30" s="1179">
        <f>358731.89-G30</f>
        <v>336043.18</v>
      </c>
      <c r="I30" s="479"/>
      <c r="J30" s="479"/>
      <c r="K30" s="479"/>
      <c r="L30" s="489">
        <f t="shared" si="6"/>
        <v>358731.89</v>
      </c>
      <c r="M30" s="1107">
        <f t="shared" si="2"/>
        <v>416080.15</v>
      </c>
      <c r="N30" s="361"/>
    </row>
    <row r="31" spans="1:13" ht="19.5" customHeight="1">
      <c r="A31" s="1099" t="s">
        <v>294</v>
      </c>
      <c r="B31" s="482">
        <v>647245.93</v>
      </c>
      <c r="C31" s="491">
        <f>676672.57-B31</f>
        <v>29426.639999999898</v>
      </c>
      <c r="D31" s="487"/>
      <c r="E31" s="487"/>
      <c r="F31" s="488">
        <f t="shared" si="5"/>
        <v>676672.57</v>
      </c>
      <c r="G31" s="1179">
        <v>498826.29</v>
      </c>
      <c r="H31" s="1179">
        <f>933344.85-G31</f>
        <v>434518.56</v>
      </c>
      <c r="I31" s="479"/>
      <c r="J31" s="479"/>
      <c r="K31" s="479"/>
      <c r="L31" s="489">
        <f t="shared" si="6"/>
        <v>933344.85</v>
      </c>
      <c r="M31" s="1107">
        <f t="shared" si="2"/>
        <v>1610017.42</v>
      </c>
    </row>
    <row r="32" spans="1:13" ht="19.5" customHeight="1">
      <c r="A32" s="1099" t="s">
        <v>295</v>
      </c>
      <c r="B32" s="482">
        <v>542320.33</v>
      </c>
      <c r="C32" s="487">
        <f>773267.79-B32</f>
        <v>230947.46000000008</v>
      </c>
      <c r="D32" s="487"/>
      <c r="E32" s="487"/>
      <c r="F32" s="488">
        <f t="shared" si="5"/>
        <v>773267.79</v>
      </c>
      <c r="G32" s="1179">
        <v>65000</v>
      </c>
      <c r="H32" s="1179">
        <f>382401.75-G32</f>
        <v>317401.75</v>
      </c>
      <c r="I32" s="479"/>
      <c r="J32" s="479"/>
      <c r="K32" s="479"/>
      <c r="L32" s="489">
        <f t="shared" si="6"/>
        <v>382401.75</v>
      </c>
      <c r="M32" s="1107">
        <f t="shared" si="2"/>
        <v>1155669.54</v>
      </c>
    </row>
    <row r="33" spans="1:14" ht="19.5" customHeight="1">
      <c r="A33" s="1099" t="s">
        <v>296</v>
      </c>
      <c r="B33" s="482">
        <v>778686.61</v>
      </c>
      <c r="C33" s="487">
        <f>841191.35-B33</f>
        <v>62504.73999999999</v>
      </c>
      <c r="D33" s="487"/>
      <c r="E33" s="487"/>
      <c r="F33" s="488">
        <f t="shared" si="5"/>
        <v>841191.35</v>
      </c>
      <c r="G33" s="1179">
        <v>64668.44</v>
      </c>
      <c r="H33" s="1179">
        <f>268318.95-G33</f>
        <v>203650.51</v>
      </c>
      <c r="I33" s="479"/>
      <c r="J33" s="479"/>
      <c r="K33" s="479"/>
      <c r="L33" s="489">
        <f t="shared" si="6"/>
        <v>268318.95</v>
      </c>
      <c r="M33" s="1107">
        <f t="shared" si="2"/>
        <v>1109510.3</v>
      </c>
      <c r="N33" s="361"/>
    </row>
    <row r="34" spans="1:13" ht="19.5" customHeight="1">
      <c r="A34" s="1099" t="s">
        <v>203</v>
      </c>
      <c r="B34" s="482">
        <v>925362.7</v>
      </c>
      <c r="C34" s="487">
        <f>2271647.1-B34</f>
        <v>1346284.4000000001</v>
      </c>
      <c r="D34" s="487"/>
      <c r="E34" s="479"/>
      <c r="F34" s="488">
        <f>B34+C34-D34-E34</f>
        <v>2271647.1</v>
      </c>
      <c r="G34" s="1179">
        <v>3975947.27</v>
      </c>
      <c r="H34" s="1179">
        <f>9593385.6-G34</f>
        <v>5617438.33</v>
      </c>
      <c r="I34" s="479"/>
      <c r="J34" s="479"/>
      <c r="K34" s="479"/>
      <c r="L34" s="489">
        <f t="shared" si="6"/>
        <v>9593385.6</v>
      </c>
      <c r="M34" s="1107">
        <f t="shared" si="2"/>
        <v>11865032.7</v>
      </c>
    </row>
    <row r="35" spans="1:14" ht="19.5" customHeight="1">
      <c r="A35" s="1099" t="s">
        <v>204</v>
      </c>
      <c r="B35" s="482">
        <v>65211649.74</v>
      </c>
      <c r="C35" s="487">
        <f>89228358.88-B35</f>
        <v>24016709.139999993</v>
      </c>
      <c r="D35" s="487"/>
      <c r="E35" s="487"/>
      <c r="F35" s="488">
        <f t="shared" si="5"/>
        <v>89228358.88</v>
      </c>
      <c r="G35" s="1179">
        <v>1690110.73</v>
      </c>
      <c r="H35" s="1179">
        <f>12817023.67-G35</f>
        <v>11126912.94</v>
      </c>
      <c r="I35" s="479"/>
      <c r="J35" s="479"/>
      <c r="K35" s="479"/>
      <c r="L35" s="489">
        <f t="shared" si="6"/>
        <v>12817023.67</v>
      </c>
      <c r="M35" s="1107">
        <f t="shared" si="2"/>
        <v>102045382.55</v>
      </c>
      <c r="N35" s="361"/>
    </row>
    <row r="36" spans="1:13" ht="19.5" customHeight="1">
      <c r="A36" s="1099" t="s">
        <v>297</v>
      </c>
      <c r="B36" s="482">
        <v>220679.57</v>
      </c>
      <c r="C36" s="491">
        <f>279896.24-B36</f>
        <v>59216.669999999984</v>
      </c>
      <c r="D36" s="487"/>
      <c r="E36" s="487"/>
      <c r="F36" s="488">
        <f t="shared" si="5"/>
        <v>279896.24</v>
      </c>
      <c r="G36" s="1179">
        <v>209782.44</v>
      </c>
      <c r="H36" s="1179">
        <f>2547355.82-G36</f>
        <v>2337573.38</v>
      </c>
      <c r="I36" s="479"/>
      <c r="J36" s="479"/>
      <c r="K36" s="479"/>
      <c r="L36" s="489">
        <f t="shared" si="6"/>
        <v>2547355.82</v>
      </c>
      <c r="M36" s="1107">
        <f t="shared" si="2"/>
        <v>2827252.0599999996</v>
      </c>
    </row>
    <row r="37" spans="1:13" ht="19.5" customHeight="1">
      <c r="A37" s="1099" t="s">
        <v>298</v>
      </c>
      <c r="B37" s="482">
        <v>4458481.49</v>
      </c>
      <c r="C37" s="491">
        <f>4484481.49-B37</f>
        <v>26000</v>
      </c>
      <c r="D37" s="487"/>
      <c r="E37" s="487"/>
      <c r="F37" s="488">
        <f t="shared" si="5"/>
        <v>4484481.49</v>
      </c>
      <c r="G37" s="1179">
        <v>63459.28</v>
      </c>
      <c r="H37" s="1179">
        <f>72595.5-63459.28</f>
        <v>9136.220000000001</v>
      </c>
      <c r="I37" s="479"/>
      <c r="J37" s="479"/>
      <c r="K37" s="479"/>
      <c r="L37" s="489">
        <f t="shared" si="6"/>
        <v>72595.5</v>
      </c>
      <c r="M37" s="1107">
        <f t="shared" si="2"/>
        <v>4557076.99</v>
      </c>
    </row>
    <row r="38" spans="1:13" ht="19.5" customHeight="1">
      <c r="A38" s="1099" t="s">
        <v>299</v>
      </c>
      <c r="B38" s="482">
        <f>35344.24</f>
        <v>35344.24</v>
      </c>
      <c r="C38" s="491">
        <f>245908.41-B38</f>
        <v>210564.17</v>
      </c>
      <c r="D38" s="487"/>
      <c r="E38" s="487"/>
      <c r="F38" s="488">
        <f t="shared" si="5"/>
        <v>245908.41</v>
      </c>
      <c r="G38" s="1179">
        <v>0</v>
      </c>
      <c r="H38" s="1179">
        <f>981823-G38</f>
        <v>981823</v>
      </c>
      <c r="I38" s="479"/>
      <c r="J38" s="479"/>
      <c r="K38" s="479"/>
      <c r="L38" s="489">
        <f t="shared" si="6"/>
        <v>981823</v>
      </c>
      <c r="M38" s="1107">
        <f t="shared" si="2"/>
        <v>1227731.41</v>
      </c>
    </row>
    <row r="39" spans="1:13" ht="19.5" customHeight="1">
      <c r="A39" s="1099" t="s">
        <v>372</v>
      </c>
      <c r="B39" s="482">
        <v>0</v>
      </c>
      <c r="C39" s="487">
        <f>71754.97</f>
        <v>71754.97</v>
      </c>
      <c r="D39" s="487"/>
      <c r="E39" s="487"/>
      <c r="F39" s="488">
        <f t="shared" si="5"/>
        <v>71754.97</v>
      </c>
      <c r="G39" s="1179">
        <v>1306.99</v>
      </c>
      <c r="H39" s="1538">
        <f>1306.99-G39</f>
        <v>0</v>
      </c>
      <c r="I39" s="479"/>
      <c r="J39" s="479"/>
      <c r="K39" s="479"/>
      <c r="L39" s="489">
        <f t="shared" si="6"/>
        <v>1306.99</v>
      </c>
      <c r="M39" s="1107">
        <f t="shared" si="2"/>
        <v>73061.96</v>
      </c>
    </row>
    <row r="40" spans="1:14" ht="19.5" customHeight="1">
      <c r="A40" s="1099" t="s">
        <v>300</v>
      </c>
      <c r="B40" s="482">
        <v>1142804.07</v>
      </c>
      <c r="C40" s="487">
        <f>1683071.62-B40</f>
        <v>540267.55</v>
      </c>
      <c r="D40" s="487"/>
      <c r="E40" s="487"/>
      <c r="F40" s="488">
        <f t="shared" si="5"/>
        <v>1683071.62</v>
      </c>
      <c r="G40" s="1538">
        <v>692283.82</v>
      </c>
      <c r="H40" s="1179">
        <f>1023021.47-G40</f>
        <v>330737.65</v>
      </c>
      <c r="I40" s="479"/>
      <c r="J40" s="479"/>
      <c r="K40" s="479"/>
      <c r="L40" s="489">
        <f t="shared" si="6"/>
        <v>1023021.47</v>
      </c>
      <c r="M40" s="1107">
        <f t="shared" si="2"/>
        <v>2706093.09</v>
      </c>
      <c r="N40" s="361"/>
    </row>
    <row r="41" spans="1:13" ht="19.5" customHeight="1">
      <c r="A41" s="1423" t="s">
        <v>301</v>
      </c>
      <c r="B41" s="482">
        <v>274524.16</v>
      </c>
      <c r="C41" s="491">
        <f>274524.16-B41</f>
        <v>0</v>
      </c>
      <c r="D41" s="487"/>
      <c r="E41" s="487"/>
      <c r="F41" s="488">
        <f t="shared" si="5"/>
        <v>274524.16</v>
      </c>
      <c r="G41" s="1179">
        <v>0</v>
      </c>
      <c r="H41" s="1179">
        <f>463253.93-G41</f>
        <v>463253.93</v>
      </c>
      <c r="I41" s="479"/>
      <c r="J41" s="479"/>
      <c r="K41" s="479"/>
      <c r="L41" s="489">
        <f t="shared" si="6"/>
        <v>463253.93</v>
      </c>
      <c r="M41" s="1107">
        <f t="shared" si="2"/>
        <v>737778.09</v>
      </c>
    </row>
    <row r="42" spans="1:13" ht="19.5" customHeight="1">
      <c r="A42" s="1100" t="s">
        <v>302</v>
      </c>
      <c r="B42" s="482">
        <v>193073.82</v>
      </c>
      <c r="C42" s="492">
        <f>814319.7-B42</f>
        <v>621245.8799999999</v>
      </c>
      <c r="D42" s="492"/>
      <c r="E42" s="492"/>
      <c r="F42" s="493">
        <f t="shared" si="5"/>
        <v>814319.7</v>
      </c>
      <c r="G42" s="1180">
        <v>174066.56</v>
      </c>
      <c r="H42" s="1180">
        <f>8098917.49-G42</f>
        <v>7924850.930000001</v>
      </c>
      <c r="I42" s="494"/>
      <c r="J42" s="494"/>
      <c r="K42" s="494"/>
      <c r="L42" s="489">
        <f t="shared" si="6"/>
        <v>8098917.49</v>
      </c>
      <c r="M42" s="1107">
        <f t="shared" si="2"/>
        <v>8913237.19</v>
      </c>
    </row>
    <row r="43" spans="1:13" s="353" customFormat="1" ht="18.75" customHeight="1">
      <c r="A43" s="1167" t="s">
        <v>728</v>
      </c>
      <c r="B43" s="495">
        <f>816235.58+7825224.11</f>
        <v>8641459.69</v>
      </c>
      <c r="C43" s="1162">
        <f>7825224.11+816235.58-B43</f>
        <v>0</v>
      </c>
      <c r="D43" s="1168"/>
      <c r="E43" s="1162"/>
      <c r="F43" s="1168">
        <f t="shared" si="5"/>
        <v>8641459.69</v>
      </c>
      <c r="G43" s="1182">
        <f>2446508.04+464239.86</f>
        <v>2910747.9</v>
      </c>
      <c r="H43" s="1181">
        <f>464239.86+2826180.65-G43</f>
        <v>379672.60999999987</v>
      </c>
      <c r="I43" s="1169"/>
      <c r="J43" s="1169"/>
      <c r="K43" s="1169"/>
      <c r="L43" s="1183">
        <f t="shared" si="6"/>
        <v>3290420.51</v>
      </c>
      <c r="M43" s="1107">
        <f t="shared" si="2"/>
        <v>11931880.2</v>
      </c>
    </row>
    <row r="44" spans="1:13" s="345" customFormat="1" ht="19.5" customHeight="1">
      <c r="A44" s="1170" t="s">
        <v>303</v>
      </c>
      <c r="B44" s="1171">
        <f>B45+B51+B60</f>
        <v>15133228.119999997</v>
      </c>
      <c r="C44" s="1171">
        <f aca="true" t="shared" si="7" ref="C44:M44">C45+C51+C60</f>
        <v>47780917.830000006</v>
      </c>
      <c r="D44" s="1171">
        <f t="shared" si="7"/>
        <v>0</v>
      </c>
      <c r="E44" s="1171">
        <f t="shared" si="7"/>
        <v>0</v>
      </c>
      <c r="F44" s="1171">
        <f t="shared" si="7"/>
        <v>62914145.949999996</v>
      </c>
      <c r="G44" s="1171">
        <f>G45+G51+G60</f>
        <v>4118015.03</v>
      </c>
      <c r="H44" s="1171">
        <f>H45+H51+H60</f>
        <v>70841782.73</v>
      </c>
      <c r="I44" s="1171">
        <f t="shared" si="7"/>
        <v>0</v>
      </c>
      <c r="J44" s="1171">
        <f t="shared" si="7"/>
        <v>0</v>
      </c>
      <c r="K44" s="1171">
        <f t="shared" si="7"/>
        <v>0</v>
      </c>
      <c r="L44" s="1171">
        <f t="shared" si="7"/>
        <v>74959797.75999999</v>
      </c>
      <c r="M44" s="1171">
        <f t="shared" si="7"/>
        <v>137873943.70999998</v>
      </c>
    </row>
    <row r="45" spans="1:13" s="345" customFormat="1" ht="19.5" customHeight="1">
      <c r="A45" s="1101" t="s">
        <v>304</v>
      </c>
      <c r="B45" s="1164">
        <f aca="true" t="shared" si="8" ref="B45:M45">SUM(B46:B50)</f>
        <v>1157117.4699999997</v>
      </c>
      <c r="C45" s="875">
        <f t="shared" si="8"/>
        <v>3979031.8</v>
      </c>
      <c r="D45" s="875">
        <f t="shared" si="8"/>
        <v>0</v>
      </c>
      <c r="E45" s="875">
        <f t="shared" si="8"/>
        <v>0</v>
      </c>
      <c r="F45" s="873">
        <f t="shared" si="8"/>
        <v>5136149.2700000005</v>
      </c>
      <c r="G45" s="873">
        <f t="shared" si="8"/>
        <v>2916196.92</v>
      </c>
      <c r="H45" s="874">
        <f t="shared" si="8"/>
        <v>0</v>
      </c>
      <c r="I45" s="1165">
        <f t="shared" si="8"/>
        <v>0</v>
      </c>
      <c r="J45" s="1165">
        <f t="shared" si="8"/>
        <v>0</v>
      </c>
      <c r="K45" s="1166">
        <f t="shared" si="8"/>
        <v>0</v>
      </c>
      <c r="L45" s="874">
        <f t="shared" si="8"/>
        <v>2916196.92</v>
      </c>
      <c r="M45" s="1106">
        <f t="shared" si="8"/>
        <v>8052346.19</v>
      </c>
    </row>
    <row r="46" spans="1:13" ht="19.5" customHeight="1">
      <c r="A46" s="1099" t="s">
        <v>205</v>
      </c>
      <c r="B46" s="482">
        <v>161020.8</v>
      </c>
      <c r="C46" s="487">
        <f>3276066.42-B46</f>
        <v>3115045.62</v>
      </c>
      <c r="D46" s="496"/>
      <c r="E46" s="496"/>
      <c r="F46" s="488">
        <f>B46+C46-D46-E46</f>
        <v>3276066.42</v>
      </c>
      <c r="G46" s="488">
        <v>1689946</v>
      </c>
      <c r="H46" s="488"/>
      <c r="I46" s="11"/>
      <c r="J46" s="11"/>
      <c r="K46" s="11"/>
      <c r="L46" s="489">
        <f>G46+H46-J46-K46</f>
        <v>1689946</v>
      </c>
      <c r="M46" s="1107">
        <f t="shared" si="2"/>
        <v>4966012.42</v>
      </c>
    </row>
    <row r="47" spans="1:13" ht="19.5" customHeight="1">
      <c r="A47" s="1099" t="s">
        <v>305</v>
      </c>
      <c r="B47" s="482">
        <v>527892.82</v>
      </c>
      <c r="C47" s="487">
        <f>580292.82-B47</f>
        <v>52400</v>
      </c>
      <c r="D47" s="496"/>
      <c r="E47" s="496"/>
      <c r="F47" s="488">
        <f>B47+C47-D47-E47</f>
        <v>580292.82</v>
      </c>
      <c r="G47" s="1179">
        <v>0</v>
      </c>
      <c r="H47" s="1179"/>
      <c r="I47" s="11"/>
      <c r="J47" s="11"/>
      <c r="K47" s="11"/>
      <c r="L47" s="489">
        <f>G47+H47-J47-K47</f>
        <v>0</v>
      </c>
      <c r="M47" s="1107">
        <f t="shared" si="2"/>
        <v>580292.82</v>
      </c>
    </row>
    <row r="48" spans="1:13" ht="19.5" customHeight="1">
      <c r="A48" s="1099" t="s">
        <v>206</v>
      </c>
      <c r="B48" s="488">
        <v>0</v>
      </c>
      <c r="C48" s="487">
        <f>711547.63-B48</f>
        <v>711547.63</v>
      </c>
      <c r="D48" s="496"/>
      <c r="E48" s="496"/>
      <c r="F48" s="488">
        <f>B48+C48-D48-E48</f>
        <v>711547.63</v>
      </c>
      <c r="G48" s="1179">
        <v>0</v>
      </c>
      <c r="H48" s="1179"/>
      <c r="I48" s="11"/>
      <c r="J48" s="11"/>
      <c r="K48" s="11"/>
      <c r="L48" s="489">
        <f>G48+H48-J48-K48</f>
        <v>0</v>
      </c>
      <c r="M48" s="1107">
        <f t="shared" si="2"/>
        <v>711547.63</v>
      </c>
    </row>
    <row r="49" spans="1:13" ht="19.5" customHeight="1">
      <c r="A49" s="1099" t="s">
        <v>306</v>
      </c>
      <c r="B49" s="482">
        <v>430209.85</v>
      </c>
      <c r="C49" s="487">
        <f>523817.4-B49</f>
        <v>93607.55000000005</v>
      </c>
      <c r="D49" s="496"/>
      <c r="E49" s="496"/>
      <c r="F49" s="488">
        <f>B49+C49-D49-E49</f>
        <v>523817.4</v>
      </c>
      <c r="G49" s="1179">
        <v>94048.14</v>
      </c>
      <c r="H49" s="1179"/>
      <c r="I49" s="11"/>
      <c r="J49" s="11"/>
      <c r="K49" s="11"/>
      <c r="L49" s="489">
        <f>G49+H49-J49-K49</f>
        <v>94048.14</v>
      </c>
      <c r="M49" s="1107">
        <f t="shared" si="2"/>
        <v>617865.54</v>
      </c>
    </row>
    <row r="50" spans="1:14" ht="19.5" customHeight="1">
      <c r="A50" s="1099" t="s">
        <v>273</v>
      </c>
      <c r="B50" s="482">
        <v>37994</v>
      </c>
      <c r="C50" s="487">
        <f>44425-B50</f>
        <v>6431</v>
      </c>
      <c r="D50" s="496"/>
      <c r="E50" s="496"/>
      <c r="F50" s="488">
        <f>B50+C50-D50-E50</f>
        <v>44425</v>
      </c>
      <c r="G50" s="1179">
        <v>1132202.78</v>
      </c>
      <c r="H50" s="1179"/>
      <c r="I50" s="11"/>
      <c r="J50" s="11"/>
      <c r="K50" s="11"/>
      <c r="L50" s="489">
        <f>G50+H50-J50-K50</f>
        <v>1132202.78</v>
      </c>
      <c r="M50" s="1107">
        <f t="shared" si="2"/>
        <v>1176627.78</v>
      </c>
      <c r="N50" s="361"/>
    </row>
    <row r="51" spans="1:13" s="345" customFormat="1" ht="19.5" customHeight="1">
      <c r="A51" s="1102" t="s">
        <v>307</v>
      </c>
      <c r="B51" s="486">
        <f>SUM(B52:B59)</f>
        <v>11418730.02</v>
      </c>
      <c r="C51" s="486">
        <f aca="true" t="shared" si="9" ref="C51:M51">SUM(C52:C59)</f>
        <v>43592663.760000005</v>
      </c>
      <c r="D51" s="486">
        <f t="shared" si="9"/>
        <v>0</v>
      </c>
      <c r="E51" s="486">
        <f t="shared" si="9"/>
        <v>0</v>
      </c>
      <c r="F51" s="486">
        <f t="shared" si="9"/>
        <v>55011393.779999994</v>
      </c>
      <c r="G51" s="486">
        <f t="shared" si="9"/>
        <v>1201818.1099999999</v>
      </c>
      <c r="H51" s="486">
        <f t="shared" si="9"/>
        <v>70841782.73</v>
      </c>
      <c r="I51" s="486">
        <f t="shared" si="9"/>
        <v>0</v>
      </c>
      <c r="J51" s="486">
        <f t="shared" si="9"/>
        <v>0</v>
      </c>
      <c r="K51" s="486">
        <f t="shared" si="9"/>
        <v>0</v>
      </c>
      <c r="L51" s="486">
        <f t="shared" si="9"/>
        <v>72043600.83999999</v>
      </c>
      <c r="M51" s="486">
        <f t="shared" si="9"/>
        <v>127054994.61999997</v>
      </c>
    </row>
    <row r="52" spans="1:15" ht="19.5" customHeight="1">
      <c r="A52" s="1099" t="s">
        <v>308</v>
      </c>
      <c r="B52" s="488">
        <v>8422901.27</v>
      </c>
      <c r="C52" s="487">
        <f>49495086.71-B52</f>
        <v>41072185.44</v>
      </c>
      <c r="D52" s="496"/>
      <c r="E52" s="496"/>
      <c r="F52" s="488">
        <f aca="true" t="shared" si="10" ref="F52:F61">B52+C52-D52-E52</f>
        <v>49495086.70999999</v>
      </c>
      <c r="G52" s="1179">
        <v>578626.11</v>
      </c>
      <c r="H52" s="1179">
        <f>63608094.05-G52</f>
        <v>63029467.94</v>
      </c>
      <c r="I52" s="11"/>
      <c r="J52" s="11"/>
      <c r="K52" s="11"/>
      <c r="L52" s="489">
        <f aca="true" t="shared" si="11" ref="L52:L59">G52+H52-J52-K52</f>
        <v>63608094.05</v>
      </c>
      <c r="M52" s="1107">
        <f t="shared" si="2"/>
        <v>113103180.75999999</v>
      </c>
      <c r="N52" s="361"/>
      <c r="O52" s="361"/>
    </row>
    <row r="53" spans="1:14" ht="19.5" customHeight="1">
      <c r="A53" s="1099" t="s">
        <v>309</v>
      </c>
      <c r="B53" s="482">
        <v>475011.34</v>
      </c>
      <c r="C53" s="487">
        <f>700596.04-B53</f>
        <v>225584.7</v>
      </c>
      <c r="D53" s="496"/>
      <c r="E53" s="496"/>
      <c r="F53" s="488">
        <f t="shared" si="10"/>
        <v>700596.04</v>
      </c>
      <c r="G53" s="1179">
        <v>565710.66</v>
      </c>
      <c r="H53" s="1179">
        <f>1198691.23-G53</f>
        <v>632980.57</v>
      </c>
      <c r="I53" s="11"/>
      <c r="J53" s="11"/>
      <c r="K53" s="11"/>
      <c r="L53" s="489">
        <f t="shared" si="11"/>
        <v>1198691.23</v>
      </c>
      <c r="M53" s="1107">
        <f t="shared" si="2"/>
        <v>1899287.27</v>
      </c>
      <c r="N53" s="361"/>
    </row>
    <row r="54" spans="1:13" ht="19.5" customHeight="1">
      <c r="A54" s="1099" t="s">
        <v>207</v>
      </c>
      <c r="B54" s="482">
        <v>126695.21</v>
      </c>
      <c r="C54" s="491">
        <f>1033791.21-B54</f>
        <v>907096</v>
      </c>
      <c r="D54" s="496"/>
      <c r="E54" s="496"/>
      <c r="F54" s="488">
        <f t="shared" si="10"/>
        <v>1033791.21</v>
      </c>
      <c r="G54" s="1179">
        <v>40710</v>
      </c>
      <c r="H54" s="1179">
        <f>1214926.81-G54</f>
        <v>1174216.81</v>
      </c>
      <c r="I54" s="11"/>
      <c r="J54" s="11"/>
      <c r="K54" s="11"/>
      <c r="L54" s="489">
        <f t="shared" si="11"/>
        <v>1214926.81</v>
      </c>
      <c r="M54" s="1107">
        <f t="shared" si="2"/>
        <v>2248718.02</v>
      </c>
    </row>
    <row r="55" spans="1:13" ht="19.5" customHeight="1">
      <c r="A55" s="1099" t="s">
        <v>310</v>
      </c>
      <c r="B55" s="482">
        <v>0</v>
      </c>
      <c r="C55" s="491">
        <v>592996</v>
      </c>
      <c r="D55" s="496"/>
      <c r="E55" s="496"/>
      <c r="F55" s="488">
        <f t="shared" si="10"/>
        <v>592996</v>
      </c>
      <c r="G55" s="1179">
        <v>7746.46</v>
      </c>
      <c r="H55" s="1179">
        <f>494302.66-G55</f>
        <v>486556.19999999995</v>
      </c>
      <c r="I55" s="11"/>
      <c r="J55" s="11"/>
      <c r="K55" s="11"/>
      <c r="L55" s="489">
        <f t="shared" si="11"/>
        <v>494302.66</v>
      </c>
      <c r="M55" s="1107">
        <f t="shared" si="2"/>
        <v>1087298.66</v>
      </c>
    </row>
    <row r="56" spans="1:13" ht="19.5" customHeight="1">
      <c r="A56" s="1099" t="s">
        <v>383</v>
      </c>
      <c r="B56" s="482">
        <v>12833.7</v>
      </c>
      <c r="C56" s="1163">
        <f>12833.7-B56</f>
        <v>0</v>
      </c>
      <c r="D56" s="496"/>
      <c r="E56" s="496"/>
      <c r="F56" s="488">
        <f t="shared" si="10"/>
        <v>12833.7</v>
      </c>
      <c r="G56" s="1179">
        <v>4500</v>
      </c>
      <c r="H56" s="1179">
        <f>5500-G56</f>
        <v>1000</v>
      </c>
      <c r="I56" s="11"/>
      <c r="J56" s="11"/>
      <c r="K56" s="11"/>
      <c r="L56" s="489">
        <f t="shared" si="11"/>
        <v>5500</v>
      </c>
      <c r="M56" s="1107">
        <f t="shared" si="2"/>
        <v>18333.7</v>
      </c>
    </row>
    <row r="57" spans="1:13" ht="19.5" customHeight="1">
      <c r="A57" s="1099" t="s">
        <v>1012</v>
      </c>
      <c r="B57" s="482">
        <v>0</v>
      </c>
      <c r="C57" s="1539">
        <v>94000</v>
      </c>
      <c r="D57" s="1540"/>
      <c r="E57" s="1540"/>
      <c r="F57" s="1541">
        <f t="shared" si="10"/>
        <v>94000</v>
      </c>
      <c r="G57" s="1542">
        <v>0</v>
      </c>
      <c r="H57" s="1542">
        <v>19.8</v>
      </c>
      <c r="I57" s="1543"/>
      <c r="J57" s="1543"/>
      <c r="K57" s="1544"/>
      <c r="L57" s="489">
        <f t="shared" si="11"/>
        <v>19.8</v>
      </c>
      <c r="M57" s="1107">
        <f t="shared" si="2"/>
        <v>94019.8</v>
      </c>
    </row>
    <row r="58" spans="1:13" ht="19.5" customHeight="1">
      <c r="A58" s="1103" t="s">
        <v>208</v>
      </c>
      <c r="B58" s="482">
        <v>2331735.41</v>
      </c>
      <c r="C58" s="492">
        <f>3023175.22-B58</f>
        <v>691439.81</v>
      </c>
      <c r="D58" s="497"/>
      <c r="E58" s="497">
        <v>0</v>
      </c>
      <c r="F58" s="493">
        <f t="shared" si="10"/>
        <v>3023175.22</v>
      </c>
      <c r="G58" s="1180">
        <v>0</v>
      </c>
      <c r="H58" s="1180">
        <f>5418835.16-G58</f>
        <v>5418835.16</v>
      </c>
      <c r="I58" s="498"/>
      <c r="J58" s="498"/>
      <c r="K58" s="498"/>
      <c r="L58" s="489">
        <f t="shared" si="11"/>
        <v>5418835.16</v>
      </c>
      <c r="M58" s="1107">
        <f t="shared" si="2"/>
        <v>8442010.38</v>
      </c>
    </row>
    <row r="59" spans="1:13" ht="19.5" customHeight="1">
      <c r="A59" s="1167" t="s">
        <v>729</v>
      </c>
      <c r="B59" s="482">
        <v>49553.09</v>
      </c>
      <c r="C59" s="1162">
        <f>58914.9-B59</f>
        <v>9361.810000000005</v>
      </c>
      <c r="D59" s="1173"/>
      <c r="E59" s="1173"/>
      <c r="F59" s="493">
        <f t="shared" si="10"/>
        <v>58914.9</v>
      </c>
      <c r="G59" s="1182">
        <v>4524.88</v>
      </c>
      <c r="H59" s="1182">
        <f>103231.13-G59</f>
        <v>98706.25</v>
      </c>
      <c r="I59" s="1174"/>
      <c r="J59" s="1174"/>
      <c r="K59" s="1174"/>
      <c r="L59" s="489">
        <f t="shared" si="11"/>
        <v>103231.13</v>
      </c>
      <c r="M59" s="1107">
        <f t="shared" si="2"/>
        <v>162146.03</v>
      </c>
    </row>
    <row r="60" spans="1:13" s="345" customFormat="1" ht="19.5" customHeight="1">
      <c r="A60" s="1170" t="s">
        <v>730</v>
      </c>
      <c r="B60" s="1178">
        <f>B61</f>
        <v>2557380.63</v>
      </c>
      <c r="C60" s="1178">
        <f aca="true" t="shared" si="12" ref="C60:M60">C61</f>
        <v>209222.27000000002</v>
      </c>
      <c r="D60" s="1178">
        <f t="shared" si="12"/>
        <v>0</v>
      </c>
      <c r="E60" s="1178">
        <f t="shared" si="12"/>
        <v>0</v>
      </c>
      <c r="F60" s="1178">
        <f t="shared" si="12"/>
        <v>2766602.9</v>
      </c>
      <c r="G60" s="1178">
        <f t="shared" si="12"/>
        <v>0</v>
      </c>
      <c r="H60" s="1178">
        <f t="shared" si="12"/>
        <v>0</v>
      </c>
      <c r="I60" s="1178">
        <f t="shared" si="12"/>
        <v>0</v>
      </c>
      <c r="J60" s="1178">
        <f t="shared" si="12"/>
        <v>0</v>
      </c>
      <c r="K60" s="1178">
        <f t="shared" si="12"/>
        <v>0</v>
      </c>
      <c r="L60" s="1178">
        <f t="shared" si="12"/>
        <v>0</v>
      </c>
      <c r="M60" s="1178">
        <f t="shared" si="12"/>
        <v>2766602.9</v>
      </c>
    </row>
    <row r="61" spans="1:13" ht="19.5" customHeight="1">
      <c r="A61" s="1167" t="s">
        <v>731</v>
      </c>
      <c r="B61" s="482">
        <v>2557380.63</v>
      </c>
      <c r="C61" s="1162">
        <f>2766602.9-B61</f>
        <v>209222.27000000002</v>
      </c>
      <c r="D61" s="1173"/>
      <c r="E61" s="1173"/>
      <c r="F61" s="493">
        <f t="shared" si="10"/>
        <v>2766602.9</v>
      </c>
      <c r="G61" s="1168">
        <v>0</v>
      </c>
      <c r="H61" s="1168">
        <v>0</v>
      </c>
      <c r="I61" s="1174">
        <v>0</v>
      </c>
      <c r="J61" s="1175">
        <v>0</v>
      </c>
      <c r="K61" s="1174">
        <v>0</v>
      </c>
      <c r="L61" s="489">
        <f>G61+H61-J61-K61</f>
        <v>0</v>
      </c>
      <c r="M61" s="1107">
        <f>F61+L61</f>
        <v>2766602.9</v>
      </c>
    </row>
    <row r="62" spans="1:14" s="345" customFormat="1" ht="19.5" customHeight="1">
      <c r="A62" s="1176" t="s">
        <v>209</v>
      </c>
      <c r="B62" s="1172">
        <f aca="true" t="shared" si="13" ref="B62:H62">B11</f>
        <v>200979883.84</v>
      </c>
      <c r="C62" s="1172">
        <f t="shared" si="13"/>
        <v>105688659.39</v>
      </c>
      <c r="D62" s="1171">
        <f t="shared" si="13"/>
        <v>0</v>
      </c>
      <c r="E62" s="1171">
        <f t="shared" si="13"/>
        <v>0</v>
      </c>
      <c r="F62" s="1172">
        <f>B62+C62-D62-E62</f>
        <v>306668543.23</v>
      </c>
      <c r="G62" s="1172">
        <f t="shared" si="13"/>
        <v>109799905.50999999</v>
      </c>
      <c r="H62" s="1172">
        <f t="shared" si="13"/>
        <v>250707234.92000002</v>
      </c>
      <c r="I62" s="1382">
        <f>I12+I14</f>
        <v>0</v>
      </c>
      <c r="J62" s="1382">
        <f>J12+J14</f>
        <v>0</v>
      </c>
      <c r="K62" s="1382">
        <f>K12+K14</f>
        <v>0</v>
      </c>
      <c r="L62" s="1177">
        <f>G62+H62-J62-K62</f>
        <v>360507140.43</v>
      </c>
      <c r="M62" s="1172">
        <f>M11</f>
        <v>667175683.6599998</v>
      </c>
      <c r="N62" s="877"/>
    </row>
    <row r="63" spans="1:14" ht="19.5" customHeight="1">
      <c r="A63" s="456" t="str">
        <f>'[13]Anexo VII _ RES PRIM'!A68</f>
        <v>FONTE: SECRETARIA MUNICIPAL DA FAZENDA</v>
      </c>
      <c r="B63" s="500"/>
      <c r="C63" s="501"/>
      <c r="D63" s="473"/>
      <c r="E63" s="502"/>
      <c r="F63" s="473"/>
      <c r="G63" s="503"/>
      <c r="H63" s="504"/>
      <c r="I63" s="504"/>
      <c r="J63" s="504"/>
      <c r="K63" s="505"/>
      <c r="L63" s="506"/>
      <c r="M63" s="83"/>
      <c r="N63" s="889"/>
    </row>
    <row r="64" spans="1:14" ht="19.5" customHeight="1">
      <c r="A64" s="499" t="str">
        <f>'Anexo 6 _ RES PRIM e NOM'!A119</f>
        <v>  São Luís,  de Janeiro de 2021.</v>
      </c>
      <c r="B64" s="500"/>
      <c r="C64" s="500"/>
      <c r="D64" s="507"/>
      <c r="E64" s="508"/>
      <c r="F64" s="509"/>
      <c r="G64" s="503"/>
      <c r="H64" s="510"/>
      <c r="I64" s="511"/>
      <c r="J64" s="512"/>
      <c r="K64" s="513"/>
      <c r="L64" s="514"/>
      <c r="M64" s="515"/>
      <c r="N64" s="889"/>
    </row>
    <row r="65" spans="1:14" ht="19.5" customHeight="1">
      <c r="A65" s="516"/>
      <c r="B65" s="517"/>
      <c r="C65" s="470"/>
      <c r="D65" s="474"/>
      <c r="E65" s="474"/>
      <c r="F65" s="474"/>
      <c r="G65" s="518"/>
      <c r="H65" s="519"/>
      <c r="I65" s="474"/>
      <c r="J65" s="474"/>
      <c r="K65" s="474"/>
      <c r="L65" s="520"/>
      <c r="N65" s="889"/>
    </row>
    <row r="66" spans="1:14" ht="19.5" customHeight="1">
      <c r="A66" s="521"/>
      <c r="B66" s="1898"/>
      <c r="C66" s="1898"/>
      <c r="D66" s="1898"/>
      <c r="E66" s="1898"/>
      <c r="F66" s="521"/>
      <c r="G66" s="521"/>
      <c r="H66" s="521"/>
      <c r="I66" s="521"/>
      <c r="J66" s="521"/>
      <c r="K66" s="521"/>
      <c r="L66" s="522"/>
      <c r="N66" s="889"/>
    </row>
    <row r="67" spans="2:12" ht="12" customHeight="1">
      <c r="B67" s="1899"/>
      <c r="C67" s="1899"/>
      <c r="D67" s="1899"/>
      <c r="E67" s="1899"/>
      <c r="F67" s="353"/>
      <c r="G67" s="353"/>
      <c r="H67" s="353"/>
      <c r="I67" s="353"/>
      <c r="J67" s="353"/>
      <c r="K67" s="353"/>
      <c r="L67" s="353"/>
    </row>
    <row r="68" spans="2:12" ht="14.25"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</row>
    <row r="69" spans="2:12" ht="14.25"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</row>
    <row r="70" spans="2:12" ht="14.25">
      <c r="B70" s="353"/>
      <c r="C70" s="353"/>
      <c r="D70" s="353"/>
      <c r="E70" s="353"/>
      <c r="F70" s="523"/>
      <c r="G70" s="353"/>
      <c r="H70" s="353"/>
      <c r="I70" s="353"/>
      <c r="J70" s="353"/>
      <c r="K70" s="353"/>
      <c r="L70" s="353"/>
    </row>
    <row r="71" spans="2:12" ht="14.25"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</row>
    <row r="72" spans="2:12" ht="14.25"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</row>
    <row r="73" spans="2:12" ht="14.25"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</row>
    <row r="74" spans="2:12" ht="14.25">
      <c r="B74" s="353"/>
      <c r="C74" s="353"/>
      <c r="D74" s="353"/>
      <c r="E74" s="353"/>
      <c r="F74" s="353"/>
      <c r="G74" s="353"/>
      <c r="H74" s="353"/>
      <c r="I74" s="523"/>
      <c r="J74" s="353"/>
      <c r="K74" s="353"/>
      <c r="L74" s="353"/>
    </row>
    <row r="75" spans="2:12" ht="14.25"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</row>
    <row r="76" spans="2:12" ht="14.25"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</row>
    <row r="77" spans="2:12" ht="14.25"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</row>
  </sheetData>
  <sheetProtection/>
  <mergeCells count="19">
    <mergeCell ref="M8:M10"/>
    <mergeCell ref="I9:I10"/>
    <mergeCell ref="J9:J10"/>
    <mergeCell ref="K9:K10"/>
    <mergeCell ref="B66:E66"/>
    <mergeCell ref="B67:E67"/>
    <mergeCell ref="L9:L10"/>
    <mergeCell ref="F9:F10"/>
    <mergeCell ref="G9:H9"/>
    <mergeCell ref="B9:C9"/>
    <mergeCell ref="A1:E1"/>
    <mergeCell ref="F1:K1"/>
    <mergeCell ref="A2:K2"/>
    <mergeCell ref="A5:F5"/>
    <mergeCell ref="A8:A10"/>
    <mergeCell ref="B8:F8"/>
    <mergeCell ref="G8:L8"/>
    <mergeCell ref="D9:D10"/>
    <mergeCell ref="E9:E10"/>
  </mergeCells>
  <printOptions horizontalCentered="1"/>
  <pageMargins left="0.15748031496062992" right="0.07874015748031496" top="0.7874015748031497" bottom="0.3937007874015748" header="0.5118110236220472" footer="0.5118110236220472"/>
  <pageSetup fitToHeight="0" horizontalDpi="600" verticalDpi="600" orientation="landscape" paperSize="9" scale="58" r:id="rId2"/>
  <headerFooter scaleWithDoc="0">
    <oddFooter>&amp;L&amp;8Publicação: Diário Oficial do Município nº 19
Data: 28.01.2021&amp;R&amp;8&amp;P / &amp;N</oddFooter>
  </headerFooter>
  <rowBreaks count="1" manualBreakCount="1">
    <brk id="39" max="12" man="1"/>
  </rowBreaks>
  <ignoredErrors>
    <ignoredError sqref="F11:F12 F62 L11:L1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80"/>
  <sheetViews>
    <sheetView showGridLines="0" view="pageBreakPreview" zoomScaleSheetLayoutView="100" zoomScalePageLayoutView="0" workbookViewId="0" topLeftCell="A97">
      <selection activeCell="C114" sqref="C114"/>
    </sheetView>
  </sheetViews>
  <sheetFormatPr defaultColWidth="9.140625" defaultRowHeight="12.75"/>
  <cols>
    <col min="1" max="1" width="99.8515625" style="625" customWidth="1"/>
    <col min="2" max="2" width="25.28125" style="790" customWidth="1"/>
    <col min="3" max="3" width="26.28125" style="790" customWidth="1"/>
    <col min="4" max="4" width="22.7109375" style="790" customWidth="1"/>
    <col min="5" max="5" width="13.00390625" style="790" customWidth="1"/>
    <col min="6" max="6" width="23.7109375" style="790" customWidth="1"/>
    <col min="7" max="7" width="14.28125" style="790" customWidth="1"/>
    <col min="8" max="8" width="16.28125" style="790" customWidth="1"/>
    <col min="9" max="9" width="8.00390625" style="625" customWidth="1"/>
    <col min="10" max="10" width="9.140625" style="790" customWidth="1"/>
    <col min="11" max="11" width="28.140625" style="790" customWidth="1"/>
    <col min="12" max="16384" width="9.140625" style="790" customWidth="1"/>
  </cols>
  <sheetData>
    <row r="1" spans="1:9" s="158" customFormat="1" ht="15">
      <c r="A1" s="2074" t="s">
        <v>133</v>
      </c>
      <c r="B1" s="2074"/>
      <c r="C1" s="2074"/>
      <c r="D1" s="2074"/>
      <c r="E1" s="2074"/>
      <c r="F1" s="2074"/>
      <c r="G1" s="2074"/>
      <c r="H1" s="233"/>
      <c r="I1" s="242"/>
    </row>
    <row r="2" spans="1:9" s="158" customFormat="1" ht="15">
      <c r="A2" s="2074" t="s">
        <v>0</v>
      </c>
      <c r="B2" s="2074"/>
      <c r="C2" s="2074"/>
      <c r="D2" s="2074"/>
      <c r="E2" s="2074"/>
      <c r="F2" s="2074"/>
      <c r="G2" s="2074"/>
      <c r="H2" s="233"/>
      <c r="I2" s="242"/>
    </row>
    <row r="3" spans="1:9" s="158" customFormat="1" ht="15.75">
      <c r="A3" s="231" t="s">
        <v>210</v>
      </c>
      <c r="B3" s="785"/>
      <c r="C3" s="785"/>
      <c r="D3" s="269"/>
      <c r="E3" s="269"/>
      <c r="F3" s="269"/>
      <c r="G3" s="785"/>
      <c r="H3" s="231"/>
      <c r="I3" s="242"/>
    </row>
    <row r="4" spans="1:9" s="158" customFormat="1" ht="15">
      <c r="A4" s="233" t="s">
        <v>1</v>
      </c>
      <c r="B4" s="286"/>
      <c r="C4" s="286"/>
      <c r="D4" s="269"/>
      <c r="E4" s="269"/>
      <c r="F4" s="269"/>
      <c r="G4" s="286"/>
      <c r="H4" s="233"/>
      <c r="I4" s="242"/>
    </row>
    <row r="5" spans="1:9" s="102" customFormat="1" ht="14.25" customHeight="1">
      <c r="A5" s="2074" t="str">
        <f>'Anexo 1 _ BAL ORC'!A5</f>
        <v>            Referência: JANEIRO-DEZEMBRO/2020; BIMESTRE: NOVEMBRO-DEZEMBRO/2020</v>
      </c>
      <c r="B5" s="2074"/>
      <c r="C5" s="286"/>
      <c r="D5" s="286"/>
      <c r="E5" s="286"/>
      <c r="F5" s="286"/>
      <c r="G5" s="286"/>
      <c r="H5" s="233"/>
      <c r="I5" s="97"/>
    </row>
    <row r="6" spans="1:9" s="158" customFormat="1" ht="8.25" customHeight="1">
      <c r="A6" s="2075"/>
      <c r="B6" s="2075"/>
      <c r="C6" s="2075"/>
      <c r="D6" s="2075"/>
      <c r="E6" s="2075"/>
      <c r="F6" s="2075"/>
      <c r="G6" s="2075"/>
      <c r="H6" s="786"/>
      <c r="I6" s="242"/>
    </row>
    <row r="7" spans="1:9" ht="15.75" customHeight="1">
      <c r="A7" s="787" t="s">
        <v>328</v>
      </c>
      <c r="B7" s="788"/>
      <c r="C7" s="788"/>
      <c r="D7" s="761"/>
      <c r="E7" s="788"/>
      <c r="F7" s="788"/>
      <c r="G7" s="789"/>
      <c r="H7" s="789"/>
      <c r="I7" s="789"/>
    </row>
    <row r="8" spans="1:9" ht="14.25" customHeight="1">
      <c r="A8" s="2062" t="s">
        <v>459</v>
      </c>
      <c r="B8" s="2069" t="s">
        <v>211</v>
      </c>
      <c r="C8" s="2073" t="s">
        <v>169</v>
      </c>
      <c r="D8" s="2005" t="s">
        <v>146</v>
      </c>
      <c r="E8" s="2006"/>
      <c r="F8" s="2006"/>
      <c r="G8" s="2006"/>
      <c r="H8" s="2006"/>
      <c r="I8" s="2007"/>
    </row>
    <row r="9" spans="1:9" ht="12.75" customHeight="1">
      <c r="A9" s="2062"/>
      <c r="B9" s="2076"/>
      <c r="C9" s="2073"/>
      <c r="D9" s="1937" t="s">
        <v>425</v>
      </c>
      <c r="E9" s="2008"/>
      <c r="F9" s="1938"/>
      <c r="G9" s="1937" t="s">
        <v>63</v>
      </c>
      <c r="H9" s="2008"/>
      <c r="I9" s="1938"/>
    </row>
    <row r="10" spans="1:9" ht="17.25" customHeight="1">
      <c r="A10" s="2062"/>
      <c r="B10" s="2077"/>
      <c r="C10" s="792" t="s">
        <v>66</v>
      </c>
      <c r="D10" s="1939"/>
      <c r="E10" s="2012"/>
      <c r="F10" s="1940"/>
      <c r="G10" s="1939" t="s">
        <v>398</v>
      </c>
      <c r="H10" s="2012"/>
      <c r="I10" s="1940"/>
    </row>
    <row r="11" spans="1:9" ht="18.75" customHeight="1">
      <c r="A11" s="1108" t="s">
        <v>460</v>
      </c>
      <c r="B11" s="793">
        <f>B12+B15+B18+B21+B22</f>
        <v>865158262</v>
      </c>
      <c r="C11" s="793">
        <f>C12+C15+C18+C21+C22</f>
        <v>865158262</v>
      </c>
      <c r="D11" s="2060">
        <f>D12+D15+D18+D21</f>
        <v>841102288.9700001</v>
      </c>
      <c r="E11" s="2061"/>
      <c r="F11" s="1957"/>
      <c r="G11" s="2009">
        <f aca="true" t="shared" si="0" ref="G11:G36">(D11/C11)*100</f>
        <v>97.21947138614972</v>
      </c>
      <c r="H11" s="2010"/>
      <c r="I11" s="2011"/>
    </row>
    <row r="12" spans="1:9" s="795" customFormat="1" ht="17.25" customHeight="1">
      <c r="A12" s="1109" t="s">
        <v>212</v>
      </c>
      <c r="B12" s="793">
        <f>B13+B14</f>
        <v>129234886</v>
      </c>
      <c r="C12" s="793">
        <f>C13+C14</f>
        <v>129234886</v>
      </c>
      <c r="D12" s="2060">
        <f>D13+D14</f>
        <v>130465861.28</v>
      </c>
      <c r="E12" s="2061"/>
      <c r="F12" s="1957"/>
      <c r="G12" s="2009">
        <f t="shared" si="0"/>
        <v>100.95251005212322</v>
      </c>
      <c r="H12" s="2010"/>
      <c r="I12" s="2011"/>
    </row>
    <row r="13" spans="1:9" s="797" customFormat="1" ht="18" customHeight="1">
      <c r="A13" s="1110" t="s">
        <v>330</v>
      </c>
      <c r="B13" s="776">
        <v>120231068</v>
      </c>
      <c r="C13" s="796">
        <f>B13</f>
        <v>120231068</v>
      </c>
      <c r="D13" s="1929">
        <f>97294186.5-22903.02</f>
        <v>97271283.48</v>
      </c>
      <c r="E13" s="2004"/>
      <c r="F13" s="1945"/>
      <c r="G13" s="2009">
        <f t="shared" si="0"/>
        <v>80.9036175907545</v>
      </c>
      <c r="H13" s="2010"/>
      <c r="I13" s="2011"/>
    </row>
    <row r="14" spans="1:9" s="797" customFormat="1" ht="15" customHeight="1">
      <c r="A14" s="1110" t="s">
        <v>458</v>
      </c>
      <c r="B14" s="796">
        <f>2300645+5282088+1421085</f>
        <v>9003818</v>
      </c>
      <c r="C14" s="796">
        <f>B14</f>
        <v>9003818</v>
      </c>
      <c r="D14" s="1929">
        <f>2546275.95+28769777.46+1878524.39</f>
        <v>33194577.8</v>
      </c>
      <c r="E14" s="2004"/>
      <c r="F14" s="1945"/>
      <c r="G14" s="2009">
        <f t="shared" si="0"/>
        <v>368.6722432639132</v>
      </c>
      <c r="H14" s="2010"/>
      <c r="I14" s="2011"/>
    </row>
    <row r="15" spans="1:9" s="795" customFormat="1" ht="15" customHeight="1">
      <c r="A15" s="1109" t="s">
        <v>213</v>
      </c>
      <c r="B15" s="793">
        <f>B16+B17</f>
        <v>34284818</v>
      </c>
      <c r="C15" s="793">
        <f>C16+C17</f>
        <v>34284818</v>
      </c>
      <c r="D15" s="2060">
        <f>D16+D17</f>
        <v>33434774.55</v>
      </c>
      <c r="E15" s="2061"/>
      <c r="F15" s="1957"/>
      <c r="G15" s="2009">
        <f t="shared" si="0"/>
        <v>97.52064178961078</v>
      </c>
      <c r="H15" s="2010"/>
      <c r="I15" s="2011"/>
    </row>
    <row r="16" spans="1:9" s="797" customFormat="1" ht="15" customHeight="1">
      <c r="A16" s="1110" t="s">
        <v>329</v>
      </c>
      <c r="B16" s="796">
        <v>34284818</v>
      </c>
      <c r="C16" s="796">
        <f>B16</f>
        <v>34284818</v>
      </c>
      <c r="D16" s="1929">
        <f>33447501.73-12727.18</f>
        <v>33434774.55</v>
      </c>
      <c r="E16" s="2004"/>
      <c r="F16" s="1945"/>
      <c r="G16" s="2009">
        <f t="shared" si="0"/>
        <v>97.52064178961078</v>
      </c>
      <c r="H16" s="2010"/>
      <c r="I16" s="2011"/>
    </row>
    <row r="17" spans="1:9" s="797" customFormat="1" ht="15" customHeight="1">
      <c r="A17" s="1110" t="s">
        <v>461</v>
      </c>
      <c r="B17" s="796">
        <v>0</v>
      </c>
      <c r="C17" s="796">
        <v>0</v>
      </c>
      <c r="D17" s="1929">
        <v>0</v>
      </c>
      <c r="E17" s="2004"/>
      <c r="F17" s="1945"/>
      <c r="G17" s="2009"/>
      <c r="H17" s="2010"/>
      <c r="I17" s="2011"/>
    </row>
    <row r="18" spans="1:9" s="795" customFormat="1" ht="15" customHeight="1">
      <c r="A18" s="1109" t="s">
        <v>214</v>
      </c>
      <c r="B18" s="793">
        <f>B19+B20</f>
        <v>607430951</v>
      </c>
      <c r="C18" s="793">
        <f>C19+C20</f>
        <v>607430951</v>
      </c>
      <c r="D18" s="2060">
        <f>D19+D20</f>
        <v>587153546.0600001</v>
      </c>
      <c r="E18" s="2061"/>
      <c r="F18" s="1957"/>
      <c r="G18" s="2009">
        <f t="shared" si="0"/>
        <v>96.66177613988592</v>
      </c>
      <c r="H18" s="2010"/>
      <c r="I18" s="2011"/>
    </row>
    <row r="19" spans="1:9" s="797" customFormat="1" ht="15" customHeight="1">
      <c r="A19" s="1110" t="s">
        <v>331</v>
      </c>
      <c r="B19" s="796">
        <f>416158749+120583577+52233337+13926080</f>
        <v>602901743</v>
      </c>
      <c r="C19" s="796">
        <f>B19</f>
        <v>602901743</v>
      </c>
      <c r="D19" s="1929">
        <f>288318815.68+229262529.24+48253288.48+10094945.14+88917.33-13073.8</f>
        <v>576005422.07</v>
      </c>
      <c r="E19" s="2004"/>
      <c r="F19" s="1945"/>
      <c r="G19" s="2009">
        <f t="shared" si="0"/>
        <v>95.53885500543329</v>
      </c>
      <c r="H19" s="2010"/>
      <c r="I19" s="2011"/>
    </row>
    <row r="20" spans="1:9" s="797" customFormat="1" ht="15" customHeight="1">
      <c r="A20" s="1110" t="s">
        <v>462</v>
      </c>
      <c r="B20" s="796">
        <f>4042885+455202+31121</f>
        <v>4529208</v>
      </c>
      <c r="C20" s="796">
        <f>B20</f>
        <v>4529208</v>
      </c>
      <c r="D20" s="1929">
        <f>4367247.82+6314873.17+466003</f>
        <v>11148123.99</v>
      </c>
      <c r="E20" s="2004"/>
      <c r="F20" s="1945"/>
      <c r="G20" s="2009">
        <f t="shared" si="0"/>
        <v>246.13848580149113</v>
      </c>
      <c r="H20" s="2010"/>
      <c r="I20" s="2011"/>
    </row>
    <row r="21" spans="1:9" s="795" customFormat="1" ht="15" customHeight="1">
      <c r="A21" s="1109" t="s">
        <v>274</v>
      </c>
      <c r="B21" s="793">
        <v>94207607</v>
      </c>
      <c r="C21" s="793">
        <f>B21</f>
        <v>94207607</v>
      </c>
      <c r="D21" s="2060">
        <f>90048556.72-449.64</f>
        <v>90048107.08</v>
      </c>
      <c r="E21" s="2061"/>
      <c r="F21" s="1957"/>
      <c r="G21" s="2009">
        <f t="shared" si="0"/>
        <v>95.58475153710252</v>
      </c>
      <c r="H21" s="2010"/>
      <c r="I21" s="2011"/>
    </row>
    <row r="22" spans="1:9" s="797" customFormat="1" ht="15" customHeight="1">
      <c r="A22" s="1109" t="s">
        <v>275</v>
      </c>
      <c r="B22" s="793"/>
      <c r="C22" s="793"/>
      <c r="D22" s="2060"/>
      <c r="E22" s="2061"/>
      <c r="F22" s="1957"/>
      <c r="G22" s="2009">
        <f>_xlfn.IFERROR((D22/C22)*100,0)</f>
        <v>0</v>
      </c>
      <c r="H22" s="2010"/>
      <c r="I22" s="2011"/>
    </row>
    <row r="23" spans="1:9" s="797" customFormat="1" ht="15" customHeight="1">
      <c r="A23" s="1110" t="s">
        <v>332</v>
      </c>
      <c r="B23" s="796"/>
      <c r="C23" s="796">
        <f>B23</f>
        <v>0</v>
      </c>
      <c r="D23" s="1929"/>
      <c r="E23" s="2004"/>
      <c r="F23" s="1945"/>
      <c r="G23" s="2009"/>
      <c r="H23" s="2010"/>
      <c r="I23" s="2011"/>
    </row>
    <row r="24" spans="1:9" s="797" customFormat="1" ht="15" customHeight="1">
      <c r="A24" s="1110" t="s">
        <v>463</v>
      </c>
      <c r="B24" s="796"/>
      <c r="C24" s="796"/>
      <c r="D24" s="1929"/>
      <c r="E24" s="2004"/>
      <c r="F24" s="1945"/>
      <c r="G24" s="2009"/>
      <c r="H24" s="2010"/>
      <c r="I24" s="2011"/>
    </row>
    <row r="25" spans="1:9" s="797" customFormat="1" ht="15" customHeight="1">
      <c r="A25" s="1108" t="s">
        <v>464</v>
      </c>
      <c r="B25" s="793">
        <f>B26+SUM(B30:B35)</f>
        <v>1203101634</v>
      </c>
      <c r="C25" s="793">
        <f>C26+SUM(C30:C35)</f>
        <v>1203101634</v>
      </c>
      <c r="D25" s="2060">
        <f>D26+SUM(D30:D35)</f>
        <v>1303968896</v>
      </c>
      <c r="E25" s="2061"/>
      <c r="F25" s="1957"/>
      <c r="G25" s="2009">
        <f t="shared" si="0"/>
        <v>108.38393525114272</v>
      </c>
      <c r="H25" s="2010"/>
      <c r="I25" s="2011"/>
    </row>
    <row r="26" spans="1:9" s="797" customFormat="1" ht="16.5" customHeight="1">
      <c r="A26" s="1110" t="s">
        <v>215</v>
      </c>
      <c r="B26" s="796">
        <f>B27+B28+B29</f>
        <v>516793272</v>
      </c>
      <c r="C26" s="796">
        <f>C27+C28+C29</f>
        <v>516793272</v>
      </c>
      <c r="D26" s="2013">
        <f>D27+D28+D29</f>
        <v>570569899.23</v>
      </c>
      <c r="E26" s="2014"/>
      <c r="F26" s="2015"/>
      <c r="G26" s="2009">
        <f t="shared" si="0"/>
        <v>110.40582959253386</v>
      </c>
      <c r="H26" s="2010"/>
      <c r="I26" s="2011"/>
    </row>
    <row r="27" spans="1:11" s="798" customFormat="1" ht="16.5" customHeight="1">
      <c r="A27" s="1110" t="s">
        <v>333</v>
      </c>
      <c r="B27" s="796">
        <f>516793272</f>
        <v>516793272</v>
      </c>
      <c r="C27" s="796">
        <f>B27</f>
        <v>516793272</v>
      </c>
      <c r="D27" s="1929">
        <f>523412198.12+23553742.03+23603959.08</f>
        <v>570569899.23</v>
      </c>
      <c r="E27" s="2004"/>
      <c r="F27" s="1945"/>
      <c r="G27" s="2009">
        <f t="shared" si="0"/>
        <v>110.40582959253386</v>
      </c>
      <c r="H27" s="2010"/>
      <c r="I27" s="2011"/>
      <c r="K27" s="797"/>
    </row>
    <row r="28" spans="1:11" s="798" customFormat="1" ht="16.5" customHeight="1">
      <c r="A28" s="1110" t="s">
        <v>334</v>
      </c>
      <c r="B28" s="796">
        <v>0</v>
      </c>
      <c r="C28" s="796">
        <v>0</v>
      </c>
      <c r="D28" s="2013"/>
      <c r="E28" s="2014"/>
      <c r="F28" s="2015"/>
      <c r="G28" s="2009">
        <f>_xlfn.IFERROR((D28/C28)*100,0)</f>
        <v>0</v>
      </c>
      <c r="H28" s="2010"/>
      <c r="I28" s="2011"/>
      <c r="K28" s="797"/>
    </row>
    <row r="29" spans="1:11" s="798" customFormat="1" ht="16.5" customHeight="1">
      <c r="A29" s="1110" t="s">
        <v>465</v>
      </c>
      <c r="B29" s="796"/>
      <c r="C29" s="796"/>
      <c r="D29" s="2013"/>
      <c r="E29" s="2014"/>
      <c r="F29" s="2015"/>
      <c r="G29" s="892"/>
      <c r="H29" s="794"/>
      <c r="I29" s="880"/>
      <c r="K29" s="797"/>
    </row>
    <row r="30" spans="1:9" s="797" customFormat="1" ht="17.25" customHeight="1">
      <c r="A30" s="1110" t="s">
        <v>216</v>
      </c>
      <c r="B30" s="796">
        <f>582236035</f>
        <v>582236035</v>
      </c>
      <c r="C30" s="796">
        <f aca="true" t="shared" si="1" ref="C30:C35">B30</f>
        <v>582236035</v>
      </c>
      <c r="D30" s="1929">
        <v>633184734.08</v>
      </c>
      <c r="E30" s="2004"/>
      <c r="F30" s="1945"/>
      <c r="G30" s="2009">
        <f t="shared" si="0"/>
        <v>108.75052315853313</v>
      </c>
      <c r="H30" s="2010"/>
      <c r="I30" s="2011"/>
    </row>
    <row r="31" spans="1:9" s="797" customFormat="1" ht="16.5" customHeight="1">
      <c r="A31" s="1110" t="s">
        <v>585</v>
      </c>
      <c r="B31" s="796">
        <f>2807604</f>
        <v>2807604</v>
      </c>
      <c r="C31" s="796">
        <f t="shared" si="1"/>
        <v>2807604</v>
      </c>
      <c r="D31" s="1929">
        <v>0</v>
      </c>
      <c r="E31" s="2004"/>
      <c r="F31" s="1945"/>
      <c r="G31" s="2009">
        <f t="shared" si="0"/>
        <v>0</v>
      </c>
      <c r="H31" s="2010"/>
      <c r="I31" s="2011"/>
    </row>
    <row r="32" spans="1:9" s="797" customFormat="1" ht="15.75" customHeight="1">
      <c r="A32" s="1110" t="s">
        <v>444</v>
      </c>
      <c r="B32" s="796">
        <f>8069541</f>
        <v>8069541</v>
      </c>
      <c r="C32" s="796">
        <f t="shared" si="1"/>
        <v>8069541</v>
      </c>
      <c r="D32" s="1929">
        <v>5841516.77</v>
      </c>
      <c r="E32" s="2004"/>
      <c r="F32" s="1945"/>
      <c r="G32" s="2009">
        <f t="shared" si="0"/>
        <v>72.3897030822447</v>
      </c>
      <c r="H32" s="2010"/>
      <c r="I32" s="2011"/>
    </row>
    <row r="33" spans="1:9" s="797" customFormat="1" ht="17.25" customHeight="1">
      <c r="A33" s="1110" t="s">
        <v>217</v>
      </c>
      <c r="B33" s="796">
        <f>4179</f>
        <v>4179</v>
      </c>
      <c r="C33" s="796">
        <f t="shared" si="1"/>
        <v>4179</v>
      </c>
      <c r="D33" s="1929">
        <v>12036.35</v>
      </c>
      <c r="E33" s="2004"/>
      <c r="F33" s="1945"/>
      <c r="G33" s="2009">
        <f t="shared" si="0"/>
        <v>288.019861210816</v>
      </c>
      <c r="H33" s="2010"/>
      <c r="I33" s="2011"/>
    </row>
    <row r="34" spans="1:9" s="797" customFormat="1" ht="15.75" customHeight="1">
      <c r="A34" s="1110" t="s">
        <v>218</v>
      </c>
      <c r="B34" s="796">
        <f>93191003</f>
        <v>93191003</v>
      </c>
      <c r="C34" s="796">
        <f t="shared" si="1"/>
        <v>93191003</v>
      </c>
      <c r="D34" s="1929">
        <v>94360709.57</v>
      </c>
      <c r="E34" s="2004"/>
      <c r="F34" s="1945"/>
      <c r="G34" s="2009">
        <f t="shared" si="0"/>
        <v>101.25517113492168</v>
      </c>
      <c r="H34" s="2010"/>
      <c r="I34" s="2011"/>
    </row>
    <row r="35" spans="1:9" s="797" customFormat="1" ht="16.5" customHeight="1">
      <c r="A35" s="1110" t="s">
        <v>219</v>
      </c>
      <c r="B35" s="796"/>
      <c r="C35" s="796">
        <f t="shared" si="1"/>
        <v>0</v>
      </c>
      <c r="D35" s="2083"/>
      <c r="E35" s="2084"/>
      <c r="F35" s="2085"/>
      <c r="G35" s="2009"/>
      <c r="H35" s="2010"/>
      <c r="I35" s="2011"/>
    </row>
    <row r="36" spans="1:9" s="797" customFormat="1" ht="21" customHeight="1">
      <c r="A36" s="1111" t="s">
        <v>220</v>
      </c>
      <c r="B36" s="799">
        <f>B11+B25</f>
        <v>2068259896</v>
      </c>
      <c r="C36" s="799">
        <f>C11+C25</f>
        <v>2068259896</v>
      </c>
      <c r="D36" s="2080">
        <f>D11+D25</f>
        <v>2145071184.9700003</v>
      </c>
      <c r="E36" s="2081"/>
      <c r="F36" s="2082"/>
      <c r="G36" s="2091">
        <f t="shared" si="0"/>
        <v>103.71381223020147</v>
      </c>
      <c r="H36" s="2092"/>
      <c r="I36" s="2093"/>
    </row>
    <row r="37" spans="1:9" ht="17.25" customHeight="1">
      <c r="A37" s="2062" t="s">
        <v>221</v>
      </c>
      <c r="B37" s="2069" t="s">
        <v>211</v>
      </c>
      <c r="C37" s="2073" t="s">
        <v>169</v>
      </c>
      <c r="D37" s="2005" t="s">
        <v>146</v>
      </c>
      <c r="E37" s="2006"/>
      <c r="F37" s="2006"/>
      <c r="G37" s="2006"/>
      <c r="H37" s="2006"/>
      <c r="I37" s="2007"/>
    </row>
    <row r="38" spans="1:9" ht="14.25" customHeight="1">
      <c r="A38" s="2062"/>
      <c r="B38" s="2069"/>
      <c r="C38" s="2073"/>
      <c r="D38" s="1903" t="s">
        <v>424</v>
      </c>
      <c r="E38" s="1904"/>
      <c r="F38" s="1905"/>
      <c r="G38" s="1937" t="s">
        <v>63</v>
      </c>
      <c r="H38" s="2008"/>
      <c r="I38" s="1938"/>
    </row>
    <row r="39" spans="1:9" ht="18.75" customHeight="1">
      <c r="A39" s="2062"/>
      <c r="B39" s="791"/>
      <c r="C39" s="792" t="s">
        <v>66</v>
      </c>
      <c r="D39" s="1939"/>
      <c r="E39" s="2012"/>
      <c r="F39" s="1940"/>
      <c r="G39" s="1939" t="s">
        <v>398</v>
      </c>
      <c r="H39" s="2012"/>
      <c r="I39" s="1940"/>
    </row>
    <row r="40" spans="1:9" ht="36" customHeight="1">
      <c r="A40" s="1112" t="s">
        <v>466</v>
      </c>
      <c r="B40" s="793">
        <v>973619</v>
      </c>
      <c r="C40" s="793">
        <f>B40</f>
        <v>973619</v>
      </c>
      <c r="D40" s="2102"/>
      <c r="E40" s="2103"/>
      <c r="F40" s="2104"/>
      <c r="G40" s="2009">
        <f>(D40/C40)*100</f>
        <v>0</v>
      </c>
      <c r="H40" s="2010"/>
      <c r="I40" s="2011"/>
    </row>
    <row r="41" spans="1:9" s="158" customFormat="1" ht="15.75" customHeight="1">
      <c r="A41" s="1108" t="s">
        <v>467</v>
      </c>
      <c r="B41" s="793">
        <f>B42+B43+B44+B45+B46+B47</f>
        <v>44539952</v>
      </c>
      <c r="C41" s="793">
        <f>C42+C43+C44+C45+C46+C47</f>
        <v>44539952</v>
      </c>
      <c r="D41" s="2060">
        <f>D42+D43+D44+D45+D46+D47</f>
        <v>17066205.080000002</v>
      </c>
      <c r="E41" s="2061"/>
      <c r="F41" s="1957"/>
      <c r="G41" s="2009">
        <f aca="true" t="shared" si="2" ref="G41:G53">(D41/C41)*100</f>
        <v>38.31662207449168</v>
      </c>
      <c r="H41" s="2010"/>
      <c r="I41" s="2011"/>
    </row>
    <row r="42" spans="1:9" s="158" customFormat="1" ht="15.75" customHeight="1">
      <c r="A42" s="1113" t="s">
        <v>276</v>
      </c>
      <c r="B42" s="796">
        <v>5363923</v>
      </c>
      <c r="C42" s="796">
        <f>B42</f>
        <v>5363923</v>
      </c>
      <c r="D42" s="1929">
        <v>4280402.17</v>
      </c>
      <c r="E42" s="2004"/>
      <c r="F42" s="1945"/>
      <c r="G42" s="2009">
        <f t="shared" si="2"/>
        <v>79.79984369648857</v>
      </c>
      <c r="H42" s="2010"/>
      <c r="I42" s="2011"/>
    </row>
    <row r="43" spans="1:9" s="158" customFormat="1" ht="15.75" customHeight="1">
      <c r="A43" s="1113" t="s">
        <v>390</v>
      </c>
      <c r="B43" s="796"/>
      <c r="C43" s="796"/>
      <c r="D43" s="2078"/>
      <c r="E43" s="2079"/>
      <c r="F43" s="1923"/>
      <c r="G43" s="2009"/>
      <c r="H43" s="2010"/>
      <c r="I43" s="2011"/>
    </row>
    <row r="44" spans="1:9" s="158" customFormat="1" ht="17.25" customHeight="1">
      <c r="A44" s="1113" t="s">
        <v>407</v>
      </c>
      <c r="B44" s="796">
        <v>12417528</v>
      </c>
      <c r="C44" s="796">
        <f>B44</f>
        <v>12417528</v>
      </c>
      <c r="D44" s="1929">
        <v>11818052.39</v>
      </c>
      <c r="E44" s="2004"/>
      <c r="F44" s="1945"/>
      <c r="G44" s="2009">
        <f t="shared" si="2"/>
        <v>95.17234340039339</v>
      </c>
      <c r="H44" s="2010"/>
      <c r="I44" s="2011"/>
    </row>
    <row r="45" spans="1:9" s="158" customFormat="1" ht="17.25" customHeight="1">
      <c r="A45" s="1113" t="s">
        <v>391</v>
      </c>
      <c r="B45" s="796">
        <v>1245938</v>
      </c>
      <c r="C45" s="796">
        <f>B45</f>
        <v>1245938</v>
      </c>
      <c r="D45" s="1929">
        <v>967750.52</v>
      </c>
      <c r="E45" s="2004"/>
      <c r="F45" s="1945"/>
      <c r="G45" s="2009">
        <f>(D45/C45)*100</f>
        <v>77.6724459804581</v>
      </c>
      <c r="H45" s="2010"/>
      <c r="I45" s="2011"/>
    </row>
    <row r="46" spans="1:9" s="158" customFormat="1" ht="17.25" customHeight="1">
      <c r="A46" s="1113" t="s">
        <v>392</v>
      </c>
      <c r="B46" s="796">
        <v>25512563</v>
      </c>
      <c r="C46" s="796">
        <f>B46</f>
        <v>25512563</v>
      </c>
      <c r="D46" s="1929"/>
      <c r="E46" s="2004"/>
      <c r="F46" s="1945"/>
      <c r="G46" s="2009">
        <f>(D46/C46)*100</f>
        <v>0</v>
      </c>
      <c r="H46" s="2010"/>
      <c r="I46" s="2011"/>
    </row>
    <row r="47" spans="1:9" s="158" customFormat="1" ht="17.25" customHeight="1">
      <c r="A47" s="1113" t="s">
        <v>393</v>
      </c>
      <c r="B47" s="796"/>
      <c r="C47" s="796"/>
      <c r="D47" s="1929"/>
      <c r="E47" s="2004"/>
      <c r="F47" s="1945"/>
      <c r="G47" s="2009"/>
      <c r="H47" s="2010"/>
      <c r="I47" s="2011"/>
    </row>
    <row r="48" spans="1:9" s="158" customFormat="1" ht="15.75" customHeight="1">
      <c r="A48" s="1114" t="s">
        <v>468</v>
      </c>
      <c r="B48" s="793">
        <f>B49+B50</f>
        <v>51118135.57</v>
      </c>
      <c r="C48" s="793">
        <f>C49+C50</f>
        <v>51118135.57</v>
      </c>
      <c r="D48" s="2060">
        <f>D49+D50</f>
        <v>11876249.22</v>
      </c>
      <c r="E48" s="2061"/>
      <c r="F48" s="1957"/>
      <c r="G48" s="2009">
        <f t="shared" si="2"/>
        <v>23.23294675670817</v>
      </c>
      <c r="H48" s="2010"/>
      <c r="I48" s="2011"/>
    </row>
    <row r="49" spans="1:9" s="158" customFormat="1" ht="15.75" customHeight="1">
      <c r="A49" s="1115" t="s">
        <v>277</v>
      </c>
      <c r="B49" s="796">
        <v>51118135.57</v>
      </c>
      <c r="C49" s="796">
        <f>B49</f>
        <v>51118135.57</v>
      </c>
      <c r="D49" s="1929">
        <v>11876249.22</v>
      </c>
      <c r="E49" s="2004"/>
      <c r="F49" s="1945"/>
      <c r="G49" s="2009">
        <f t="shared" si="2"/>
        <v>23.23294675670817</v>
      </c>
      <c r="H49" s="2010"/>
      <c r="I49" s="2011"/>
    </row>
    <row r="50" spans="1:9" s="158" customFormat="1" ht="16.5" customHeight="1">
      <c r="A50" s="1115" t="s">
        <v>278</v>
      </c>
      <c r="B50" s="796"/>
      <c r="C50" s="803"/>
      <c r="D50" s="1929"/>
      <c r="E50" s="2004"/>
      <c r="F50" s="1945"/>
      <c r="G50" s="2009"/>
      <c r="H50" s="2010"/>
      <c r="I50" s="2011"/>
    </row>
    <row r="51" spans="1:9" s="618" customFormat="1" ht="17.25" customHeight="1">
      <c r="A51" s="1108" t="s">
        <v>469</v>
      </c>
      <c r="B51" s="793"/>
      <c r="C51" s="782">
        <f>B51</f>
        <v>0</v>
      </c>
      <c r="D51" s="1929">
        <v>0</v>
      </c>
      <c r="E51" s="2004"/>
      <c r="F51" s="1945"/>
      <c r="G51" s="2009"/>
      <c r="H51" s="2010"/>
      <c r="I51" s="2011"/>
    </row>
    <row r="52" spans="1:9" s="618" customFormat="1" ht="18" customHeight="1">
      <c r="A52" s="1114" t="s">
        <v>470</v>
      </c>
      <c r="B52" s="793"/>
      <c r="C52" s="782">
        <f>B52</f>
        <v>0</v>
      </c>
      <c r="D52" s="2099"/>
      <c r="E52" s="2100"/>
      <c r="F52" s="2101"/>
      <c r="G52" s="2009">
        <f>_xlfn.IFERROR((D52/C52)*100,0)</f>
        <v>0</v>
      </c>
      <c r="H52" s="2010"/>
      <c r="I52" s="2011"/>
    </row>
    <row r="53" spans="1:9" s="158" customFormat="1" ht="33" customHeight="1">
      <c r="A53" s="1116" t="s">
        <v>719</v>
      </c>
      <c r="B53" s="804">
        <f>B40+B41+B48+B51+B52</f>
        <v>96631706.57</v>
      </c>
      <c r="C53" s="804">
        <f>C40+C41+C48+C51+C52</f>
        <v>96631706.57</v>
      </c>
      <c r="D53" s="2070">
        <f>D40+D41+D48+D51+D52</f>
        <v>28942454.300000004</v>
      </c>
      <c r="E53" s="2071"/>
      <c r="F53" s="2072"/>
      <c r="G53" s="2091">
        <f t="shared" si="2"/>
        <v>29.9513020387714</v>
      </c>
      <c r="H53" s="2092"/>
      <c r="I53" s="2093"/>
    </row>
    <row r="54" spans="2:9" ht="16.5" customHeight="1">
      <c r="B54" s="805"/>
      <c r="C54" s="625"/>
      <c r="D54" s="625"/>
      <c r="E54" s="625"/>
      <c r="F54" s="625"/>
      <c r="G54" s="1612"/>
      <c r="H54" s="1612"/>
      <c r="I54" s="1612"/>
    </row>
    <row r="55" spans="1:9" ht="16.5" customHeight="1">
      <c r="A55" s="2062" t="s">
        <v>222</v>
      </c>
      <c r="B55" s="2069" t="s">
        <v>211</v>
      </c>
      <c r="C55" s="2073" t="s">
        <v>169</v>
      </c>
      <c r="D55" s="2005" t="s">
        <v>146</v>
      </c>
      <c r="E55" s="2006"/>
      <c r="F55" s="2006"/>
      <c r="G55" s="2006"/>
      <c r="H55" s="2006"/>
      <c r="I55" s="2007"/>
    </row>
    <row r="56" spans="1:9" ht="15" customHeight="1">
      <c r="A56" s="2062"/>
      <c r="B56" s="2069"/>
      <c r="C56" s="2069"/>
      <c r="D56" s="1903" t="s">
        <v>411</v>
      </c>
      <c r="E56" s="1904"/>
      <c r="F56" s="1905"/>
      <c r="G56" s="1937" t="s">
        <v>63</v>
      </c>
      <c r="H56" s="2008"/>
      <c r="I56" s="1938"/>
    </row>
    <row r="57" spans="1:9" ht="13.5" customHeight="1">
      <c r="A57" s="2062"/>
      <c r="B57" s="791"/>
      <c r="C57" s="806" t="s">
        <v>66</v>
      </c>
      <c r="D57" s="1939"/>
      <c r="E57" s="2012"/>
      <c r="F57" s="1940"/>
      <c r="G57" s="1903" t="s">
        <v>398</v>
      </c>
      <c r="H57" s="1904"/>
      <c r="I57" s="1905"/>
    </row>
    <row r="58" spans="1:9" s="797" customFormat="1" ht="24" customHeight="1">
      <c r="A58" s="1117" t="s">
        <v>471</v>
      </c>
      <c r="B58" s="793">
        <f>SUM(B59:B64)</f>
        <v>240620327</v>
      </c>
      <c r="C58" s="793">
        <f>SUM(C59:C64)</f>
        <v>240620327</v>
      </c>
      <c r="D58" s="2097">
        <f>SUM(D59:D64)</f>
        <v>251362238.19000003</v>
      </c>
      <c r="E58" s="2098"/>
      <c r="F58" s="1972"/>
      <c r="G58" s="2094">
        <f>D58/C58*100</f>
        <v>104.46425758119764</v>
      </c>
      <c r="H58" s="2095"/>
      <c r="I58" s="2096"/>
    </row>
    <row r="59" spans="1:11" s="807" customFormat="1" ht="23.25" customHeight="1">
      <c r="A59" s="1118" t="s">
        <v>335</v>
      </c>
      <c r="B59" s="796">
        <f>(B26*20%)-0.4</f>
        <v>103358654</v>
      </c>
      <c r="C59" s="796">
        <f aca="true" t="shared" si="3" ref="C59:C64">B59</f>
        <v>103358654</v>
      </c>
      <c r="D59" s="2013">
        <f>(0.2*D27)-9431540.51</f>
        <v>104682439.33600001</v>
      </c>
      <c r="E59" s="2014"/>
      <c r="F59" s="2015"/>
      <c r="G59" s="2009">
        <f aca="true" t="shared" si="4" ref="G59:G69">D59/C59*100</f>
        <v>101.28076874530507</v>
      </c>
      <c r="H59" s="2010"/>
      <c r="I59" s="2011"/>
      <c r="K59" s="884"/>
    </row>
    <row r="60" spans="1:11" s="807" customFormat="1" ht="18.75" customHeight="1">
      <c r="A60" s="1118" t="s">
        <v>336</v>
      </c>
      <c r="B60" s="796">
        <f>(B30*20%)</f>
        <v>116447207</v>
      </c>
      <c r="C60" s="796">
        <f t="shared" si="3"/>
        <v>116447207</v>
      </c>
      <c r="D60" s="2013">
        <f>(0.2*D30)-4.94</f>
        <v>126636941.87600002</v>
      </c>
      <c r="E60" s="2014"/>
      <c r="F60" s="2015"/>
      <c r="G60" s="2009">
        <f t="shared" si="4"/>
        <v>108.75051891626737</v>
      </c>
      <c r="H60" s="2010"/>
      <c r="I60" s="2011"/>
      <c r="K60" s="884"/>
    </row>
    <row r="61" spans="1:11" s="807" customFormat="1" ht="15.75" customHeight="1">
      <c r="A61" s="1118" t="s">
        <v>714</v>
      </c>
      <c r="B61" s="796">
        <f>(B31*20%)+0.2</f>
        <v>561521</v>
      </c>
      <c r="C61" s="796">
        <f t="shared" si="3"/>
        <v>561521</v>
      </c>
      <c r="D61" s="2013">
        <f>(0.2*D31)</f>
        <v>0</v>
      </c>
      <c r="E61" s="2014"/>
      <c r="F61" s="2015"/>
      <c r="G61" s="2009">
        <f t="shared" si="4"/>
        <v>0</v>
      </c>
      <c r="H61" s="2010"/>
      <c r="I61" s="2011"/>
      <c r="K61" s="885"/>
    </row>
    <row r="62" spans="1:11" s="807" customFormat="1" ht="21" customHeight="1">
      <c r="A62" s="1118" t="s">
        <v>715</v>
      </c>
      <c r="B62" s="796">
        <f>(B32*20%)-0.2</f>
        <v>1613908.0000000002</v>
      </c>
      <c r="C62" s="796">
        <f t="shared" si="3"/>
        <v>1613908.0000000002</v>
      </c>
      <c r="D62" s="2013">
        <f>(0.2*D32)</f>
        <v>1168303.354</v>
      </c>
      <c r="E62" s="2014"/>
      <c r="F62" s="2015"/>
      <c r="G62" s="2009">
        <f t="shared" si="4"/>
        <v>72.38971205297948</v>
      </c>
      <c r="H62" s="2010"/>
      <c r="I62" s="2011"/>
      <c r="K62" s="884"/>
    </row>
    <row r="63" spans="1:11" s="807" customFormat="1" ht="17.25" customHeight="1">
      <c r="A63" s="1118" t="s">
        <v>716</v>
      </c>
      <c r="B63" s="796">
        <f>(B33*20%)+0.2</f>
        <v>836.0000000000001</v>
      </c>
      <c r="C63" s="796">
        <f t="shared" si="3"/>
        <v>836.0000000000001</v>
      </c>
      <c r="D63" s="2013">
        <f>(0.2*D33)-0.06</f>
        <v>2407.21</v>
      </c>
      <c r="E63" s="2014"/>
      <c r="F63" s="2015"/>
      <c r="G63" s="2009">
        <f t="shared" si="4"/>
        <v>287.94377990430615</v>
      </c>
      <c r="H63" s="2010"/>
      <c r="I63" s="2011"/>
      <c r="K63" s="797"/>
    </row>
    <row r="64" spans="1:11" s="807" customFormat="1" ht="19.5" customHeight="1">
      <c r="A64" s="1118" t="s">
        <v>717</v>
      </c>
      <c r="B64" s="796">
        <f>(B34*20%)+0.4</f>
        <v>18638201</v>
      </c>
      <c r="C64" s="796">
        <f t="shared" si="3"/>
        <v>18638201</v>
      </c>
      <c r="D64" s="2013">
        <f>(0.2*D34)+4.5</f>
        <v>18872146.414</v>
      </c>
      <c r="E64" s="2014"/>
      <c r="F64" s="2015"/>
      <c r="G64" s="2009">
        <f t="shared" si="4"/>
        <v>101.25519310581532</v>
      </c>
      <c r="H64" s="2010"/>
      <c r="I64" s="2011"/>
      <c r="K64" s="797"/>
    </row>
    <row r="65" spans="1:9" s="797" customFormat="1" ht="18" customHeight="1">
      <c r="A65" s="1117" t="s">
        <v>472</v>
      </c>
      <c r="B65" s="793">
        <f>B66+B67+B68</f>
        <v>351814965</v>
      </c>
      <c r="C65" s="793">
        <f>C66+C67+C68</f>
        <v>371785965</v>
      </c>
      <c r="D65" s="2060">
        <f>D66+D67+D68</f>
        <v>396323473.44</v>
      </c>
      <c r="E65" s="2061"/>
      <c r="F65" s="1957"/>
      <c r="G65" s="2009">
        <f t="shared" si="4"/>
        <v>106.59990175799132</v>
      </c>
      <c r="H65" s="2010"/>
      <c r="I65" s="2011"/>
    </row>
    <row r="66" spans="1:9" s="797" customFormat="1" ht="17.25" customHeight="1">
      <c r="A66" s="1118" t="s">
        <v>223</v>
      </c>
      <c r="B66" s="796">
        <v>181654342</v>
      </c>
      <c r="C66" s="796">
        <v>201625342</v>
      </c>
      <c r="D66" s="1929">
        <v>208166494.07</v>
      </c>
      <c r="E66" s="2004"/>
      <c r="F66" s="1945"/>
      <c r="G66" s="2009">
        <f t="shared" si="4"/>
        <v>103.24421127082329</v>
      </c>
      <c r="H66" s="2010"/>
      <c r="I66" s="2011"/>
    </row>
    <row r="67" spans="1:9" s="797" customFormat="1" ht="17.25" customHeight="1">
      <c r="A67" s="1118" t="s">
        <v>224</v>
      </c>
      <c r="B67" s="796">
        <f>100632116+67088077</f>
        <v>167720193</v>
      </c>
      <c r="C67" s="796">
        <f>B67</f>
        <v>167720193</v>
      </c>
      <c r="D67" s="1929">
        <v>187716056.45</v>
      </c>
      <c r="E67" s="2004"/>
      <c r="F67" s="1945"/>
      <c r="G67" s="2009">
        <f t="shared" si="4"/>
        <v>111.92215623672696</v>
      </c>
      <c r="H67" s="2010"/>
      <c r="I67" s="2011"/>
    </row>
    <row r="68" spans="1:9" s="797" customFormat="1" ht="21.75" customHeight="1">
      <c r="A68" s="1118" t="s">
        <v>225</v>
      </c>
      <c r="B68" s="796">
        <v>2440430</v>
      </c>
      <c r="C68" s="796">
        <f>B68</f>
        <v>2440430</v>
      </c>
      <c r="D68" s="1929">
        <v>440922.92</v>
      </c>
      <c r="E68" s="2004"/>
      <c r="F68" s="1945"/>
      <c r="G68" s="2066">
        <f t="shared" si="4"/>
        <v>18.067427461553905</v>
      </c>
      <c r="H68" s="2067"/>
      <c r="I68" s="2068"/>
    </row>
    <row r="69" spans="1:9" s="158" customFormat="1" ht="34.5" customHeight="1">
      <c r="A69" s="1119" t="s">
        <v>718</v>
      </c>
      <c r="B69" s="804">
        <f>B66-B58</f>
        <v>-58965985</v>
      </c>
      <c r="C69" s="808">
        <f>C66-C58</f>
        <v>-38994985</v>
      </c>
      <c r="D69" s="2108">
        <f>D66-D58</f>
        <v>-43195744.120000035</v>
      </c>
      <c r="E69" s="2109"/>
      <c r="F69" s="2110"/>
      <c r="G69" s="2091">
        <f t="shared" si="4"/>
        <v>110.77256247181538</v>
      </c>
      <c r="H69" s="2092"/>
      <c r="I69" s="2093"/>
    </row>
    <row r="70" spans="1:9" s="158" customFormat="1" ht="23.25" customHeight="1">
      <c r="A70" s="1120" t="s">
        <v>226</v>
      </c>
      <c r="B70" s="809"/>
      <c r="C70" s="809"/>
      <c r="D70" s="810"/>
      <c r="E70" s="2063"/>
      <c r="F70" s="2064"/>
      <c r="G70" s="2064"/>
      <c r="H70" s="2064"/>
      <c r="I70" s="2065"/>
    </row>
    <row r="71" spans="1:9" s="158" customFormat="1" ht="23.25" customHeight="1">
      <c r="A71" s="1121" t="s">
        <v>280</v>
      </c>
      <c r="B71" s="758"/>
      <c r="C71" s="758"/>
      <c r="D71" s="758"/>
      <c r="E71" s="2080">
        <f>D69</f>
        <v>-43195744.120000035</v>
      </c>
      <c r="F71" s="2081"/>
      <c r="G71" s="2081"/>
      <c r="H71" s="2081"/>
      <c r="I71" s="2082"/>
    </row>
    <row r="72" spans="1:9" s="811" customFormat="1" ht="16.5" customHeight="1">
      <c r="A72" s="1903"/>
      <c r="B72" s="1904"/>
      <c r="C72" s="1904"/>
      <c r="D72" s="1904"/>
      <c r="E72" s="1904"/>
      <c r="F72" s="1904"/>
      <c r="G72" s="1904"/>
      <c r="H72" s="1904"/>
      <c r="I72" s="1905"/>
    </row>
    <row r="73" spans="1:9" s="158" customFormat="1" ht="13.5" customHeight="1">
      <c r="A73" s="2062" t="s">
        <v>227</v>
      </c>
      <c r="B73" s="2022" t="s">
        <v>395</v>
      </c>
      <c r="C73" s="1989" t="s">
        <v>229</v>
      </c>
      <c r="D73" s="2018" t="s">
        <v>324</v>
      </c>
      <c r="E73" s="2019"/>
      <c r="F73" s="2018" t="s">
        <v>160</v>
      </c>
      <c r="G73" s="2019"/>
      <c r="H73" s="1937" t="s">
        <v>408</v>
      </c>
      <c r="I73" s="1938"/>
    </row>
    <row r="74" spans="1:9" s="158" customFormat="1" ht="21.75" customHeight="1">
      <c r="A74" s="2062"/>
      <c r="B74" s="2023"/>
      <c r="C74" s="1989"/>
      <c r="D74" s="2020"/>
      <c r="E74" s="2021"/>
      <c r="F74" s="2020"/>
      <c r="G74" s="2021"/>
      <c r="H74" s="1903"/>
      <c r="I74" s="1905"/>
    </row>
    <row r="75" spans="1:9" s="158" customFormat="1" ht="36" customHeight="1">
      <c r="A75" s="2062"/>
      <c r="B75" s="2024"/>
      <c r="C75" s="812" t="s">
        <v>230</v>
      </c>
      <c r="D75" s="812" t="s">
        <v>435</v>
      </c>
      <c r="E75" s="813" t="s">
        <v>394</v>
      </c>
      <c r="F75" s="814" t="s">
        <v>396</v>
      </c>
      <c r="G75" s="815" t="s">
        <v>397</v>
      </c>
      <c r="H75" s="1939"/>
      <c r="I75" s="1940"/>
    </row>
    <row r="76" spans="1:9" s="158" customFormat="1" ht="15" customHeight="1">
      <c r="A76" s="1122" t="s">
        <v>231</v>
      </c>
      <c r="B76" s="816">
        <f>B77+B78</f>
        <v>282542876.1</v>
      </c>
      <c r="C76" s="816">
        <f>C77+C78</f>
        <v>329308654.41</v>
      </c>
      <c r="D76" s="816">
        <f>D77+D78</f>
        <v>322555581.87</v>
      </c>
      <c r="E76" s="817">
        <f>D76/C76*100</f>
        <v>97.94931823091652</v>
      </c>
      <c r="F76" s="818">
        <f>F77+F78</f>
        <v>322555581.87</v>
      </c>
      <c r="G76" s="1373">
        <f>F76/C76*100</f>
        <v>97.94931823091652</v>
      </c>
      <c r="H76" s="2089">
        <f>H77+H78</f>
        <v>0</v>
      </c>
      <c r="I76" s="2090"/>
    </row>
    <row r="77" spans="1:9" s="158" customFormat="1" ht="21" customHeight="1">
      <c r="A77" s="1123" t="s">
        <v>634</v>
      </c>
      <c r="B77" s="819">
        <v>54300078.95</v>
      </c>
      <c r="C77" s="819">
        <v>70260952.29</v>
      </c>
      <c r="D77" s="776">
        <v>67041823.12</v>
      </c>
      <c r="E77" s="1372">
        <f aca="true" t="shared" si="5" ref="E77:E82">D77/C77*100</f>
        <v>95.41832402624838</v>
      </c>
      <c r="F77" s="820">
        <v>67041823.12</v>
      </c>
      <c r="G77" s="821">
        <f aca="true" t="shared" si="6" ref="G77:G82">F77/C77*100</f>
        <v>95.41832402624838</v>
      </c>
      <c r="H77" s="1944">
        <f>D77-F77</f>
        <v>0</v>
      </c>
      <c r="I77" s="1945"/>
    </row>
    <row r="78" spans="1:11" s="158" customFormat="1" ht="17.25" customHeight="1">
      <c r="A78" s="1123" t="s">
        <v>635</v>
      </c>
      <c r="B78" s="819">
        <v>228242797.15</v>
      </c>
      <c r="C78" s="819">
        <v>259047702.12</v>
      </c>
      <c r="D78" s="776">
        <v>255513758.75</v>
      </c>
      <c r="E78" s="1372">
        <f t="shared" si="5"/>
        <v>98.6357943571478</v>
      </c>
      <c r="F78" s="820">
        <v>255513758.75</v>
      </c>
      <c r="G78" s="821">
        <f t="shared" si="6"/>
        <v>98.6357943571478</v>
      </c>
      <c r="H78" s="1944">
        <f>D78-F78</f>
        <v>0</v>
      </c>
      <c r="I78" s="1945"/>
      <c r="K78" s="822"/>
    </row>
    <row r="79" spans="1:9" s="158" customFormat="1" ht="16.5" customHeight="1">
      <c r="A79" s="1122" t="s">
        <v>232</v>
      </c>
      <c r="B79" s="816">
        <f>B80+B81</f>
        <v>67088077</v>
      </c>
      <c r="C79" s="816">
        <f>C80+C81</f>
        <v>74086371.39</v>
      </c>
      <c r="D79" s="816">
        <f>D80+D81</f>
        <v>62104105.589999996</v>
      </c>
      <c r="E79" s="817">
        <f t="shared" si="5"/>
        <v>83.82662617268181</v>
      </c>
      <c r="F79" s="818">
        <f>F80+F81</f>
        <v>56685270.43</v>
      </c>
      <c r="G79" s="1374">
        <f t="shared" si="6"/>
        <v>76.51241296675416</v>
      </c>
      <c r="H79" s="1999"/>
      <c r="I79" s="2000"/>
    </row>
    <row r="80" spans="1:9" s="158" customFormat="1" ht="15" customHeight="1">
      <c r="A80" s="1123" t="s">
        <v>636</v>
      </c>
      <c r="B80" s="819">
        <v>67088077</v>
      </c>
      <c r="C80" s="819">
        <v>69669747.62</v>
      </c>
      <c r="D80" s="776">
        <v>60700387.68</v>
      </c>
      <c r="E80" s="1372">
        <f t="shared" si="5"/>
        <v>87.12589000763772</v>
      </c>
      <c r="F80" s="820">
        <v>55281552.52</v>
      </c>
      <c r="G80" s="821">
        <f t="shared" si="6"/>
        <v>79.34800169152673</v>
      </c>
      <c r="H80" s="1944">
        <f>D80-F80</f>
        <v>5418835.159999996</v>
      </c>
      <c r="I80" s="1945"/>
    </row>
    <row r="81" spans="1:9" s="158" customFormat="1" ht="17.25" customHeight="1">
      <c r="A81" s="1123" t="s">
        <v>637</v>
      </c>
      <c r="B81" s="819">
        <v>0</v>
      </c>
      <c r="C81" s="819">
        <v>4416623.77</v>
      </c>
      <c r="D81" s="776">
        <v>1403717.91</v>
      </c>
      <c r="E81" s="817">
        <f t="shared" si="5"/>
        <v>31.782600988899716</v>
      </c>
      <c r="F81" s="820">
        <v>1403717.91</v>
      </c>
      <c r="G81" s="823">
        <f t="shared" si="6"/>
        <v>31.782600988899716</v>
      </c>
      <c r="H81" s="1944">
        <f>D81-F81</f>
        <v>0</v>
      </c>
      <c r="I81" s="1945"/>
    </row>
    <row r="82" spans="1:9" s="158" customFormat="1" ht="20.25" customHeight="1">
      <c r="A82" s="1124" t="s">
        <v>282</v>
      </c>
      <c r="B82" s="824">
        <f>B76+B79</f>
        <v>349630953.1</v>
      </c>
      <c r="C82" s="824">
        <f>C76+C79</f>
        <v>403395025.8</v>
      </c>
      <c r="D82" s="825">
        <f>D76+D79</f>
        <v>384659687.46</v>
      </c>
      <c r="E82" s="826">
        <f t="shared" si="5"/>
        <v>95.35558518530448</v>
      </c>
      <c r="F82" s="827">
        <f>F76+F79</f>
        <v>379240852.3</v>
      </c>
      <c r="G82" s="828">
        <f t="shared" si="6"/>
        <v>94.01227780335213</v>
      </c>
      <c r="H82" s="1981">
        <f>H76+H79</f>
        <v>0</v>
      </c>
      <c r="I82" s="1982"/>
    </row>
    <row r="83" spans="1:9" ht="15">
      <c r="A83" s="1978"/>
      <c r="B83" s="1979"/>
      <c r="C83" s="1979"/>
      <c r="D83" s="1979"/>
      <c r="E83" s="1979"/>
      <c r="F83" s="1979"/>
      <c r="G83" s="1979"/>
      <c r="H83" s="1979"/>
      <c r="I83" s="1980"/>
    </row>
    <row r="84" spans="1:9" ht="15">
      <c r="A84" s="1978"/>
      <c r="B84" s="1979"/>
      <c r="C84" s="1979"/>
      <c r="D84" s="1979"/>
      <c r="E84" s="1979"/>
      <c r="F84" s="1979"/>
      <c r="G84" s="1979"/>
      <c r="H84" s="1979"/>
      <c r="I84" s="1980"/>
    </row>
    <row r="85" spans="1:9" ht="19.5" customHeight="1">
      <c r="A85" s="1975" t="s">
        <v>410</v>
      </c>
      <c r="B85" s="1976"/>
      <c r="C85" s="1976"/>
      <c r="D85" s="1976"/>
      <c r="E85" s="1976"/>
      <c r="F85" s="1977"/>
      <c r="G85" s="2005" t="s">
        <v>164</v>
      </c>
      <c r="H85" s="2006"/>
      <c r="I85" s="2007"/>
    </row>
    <row r="86" spans="1:9" ht="20.25" customHeight="1">
      <c r="A86" s="1948" t="s">
        <v>233</v>
      </c>
      <c r="B86" s="1949"/>
      <c r="C86" s="1949"/>
      <c r="D86" s="1949"/>
      <c r="E86" s="1949"/>
      <c r="F86" s="1950"/>
      <c r="G86" s="1955">
        <f>G87+G88</f>
        <v>0</v>
      </c>
      <c r="H86" s="1955"/>
      <c r="I86" s="1955"/>
    </row>
    <row r="87" spans="1:9" ht="20.25" customHeight="1">
      <c r="A87" s="1948" t="s">
        <v>638</v>
      </c>
      <c r="B87" s="1949"/>
      <c r="C87" s="1949"/>
      <c r="D87" s="1949"/>
      <c r="E87" s="1949"/>
      <c r="F87" s="1950"/>
      <c r="G87" s="1941"/>
      <c r="H87" s="1942"/>
      <c r="I87" s="1943"/>
    </row>
    <row r="88" spans="1:9" ht="20.25" customHeight="1">
      <c r="A88" s="2016" t="s">
        <v>639</v>
      </c>
      <c r="B88" s="1936"/>
      <c r="C88" s="1936"/>
      <c r="D88" s="1936"/>
      <c r="E88" s="1936"/>
      <c r="F88" s="2017"/>
      <c r="G88" s="1941"/>
      <c r="H88" s="1942"/>
      <c r="I88" s="1943"/>
    </row>
    <row r="89" spans="1:9" ht="18" customHeight="1">
      <c r="A89" s="1948" t="s">
        <v>234</v>
      </c>
      <c r="B89" s="1949"/>
      <c r="C89" s="1949"/>
      <c r="D89" s="1949"/>
      <c r="E89" s="1949"/>
      <c r="F89" s="1950"/>
      <c r="G89" s="1955">
        <f>G90+G91</f>
        <v>0</v>
      </c>
      <c r="H89" s="1955"/>
      <c r="I89" s="1955"/>
    </row>
    <row r="90" spans="1:9" ht="18" customHeight="1">
      <c r="A90" s="1948" t="s">
        <v>640</v>
      </c>
      <c r="B90" s="1949"/>
      <c r="C90" s="1949"/>
      <c r="D90" s="1949"/>
      <c r="E90" s="1949"/>
      <c r="F90" s="1950"/>
      <c r="G90" s="1941"/>
      <c r="H90" s="1942"/>
      <c r="I90" s="1943"/>
    </row>
    <row r="91" spans="1:9" ht="18" customHeight="1">
      <c r="A91" s="1948" t="s">
        <v>641</v>
      </c>
      <c r="B91" s="1949"/>
      <c r="C91" s="1949"/>
      <c r="D91" s="1949"/>
      <c r="E91" s="1949"/>
      <c r="F91" s="1950"/>
      <c r="G91" s="1941"/>
      <c r="H91" s="1942"/>
      <c r="I91" s="1943"/>
    </row>
    <row r="92" spans="1:9" ht="18.75" customHeight="1">
      <c r="A92" s="1948" t="s">
        <v>235</v>
      </c>
      <c r="B92" s="1949"/>
      <c r="C92" s="1949"/>
      <c r="D92" s="1949"/>
      <c r="E92" s="1949"/>
      <c r="F92" s="1950"/>
      <c r="G92" s="1963">
        <f>G86+G89</f>
        <v>0</v>
      </c>
      <c r="H92" s="1964"/>
      <c r="I92" s="1965"/>
    </row>
    <row r="93" spans="1:9" ht="18.75" customHeight="1">
      <c r="A93" s="1952" t="s">
        <v>399</v>
      </c>
      <c r="B93" s="1953"/>
      <c r="C93" s="1953"/>
      <c r="D93" s="1953"/>
      <c r="E93" s="1953"/>
      <c r="F93" s="1953"/>
      <c r="G93" s="1953"/>
      <c r="H93" s="1953"/>
      <c r="I93" s="1954"/>
    </row>
    <row r="94" spans="1:9" ht="18.75" customHeight="1">
      <c r="A94" s="1948" t="s">
        <v>400</v>
      </c>
      <c r="B94" s="1949"/>
      <c r="C94" s="1949"/>
      <c r="D94" s="1949"/>
      <c r="E94" s="1949"/>
      <c r="F94" s="1950"/>
      <c r="G94" s="1963">
        <f>F82+H82-G92</f>
        <v>379240852.3</v>
      </c>
      <c r="H94" s="1964"/>
      <c r="I94" s="1965"/>
    </row>
    <row r="95" spans="1:9" ht="19.5" customHeight="1">
      <c r="A95" s="1948" t="s">
        <v>642</v>
      </c>
      <c r="B95" s="1949"/>
      <c r="C95" s="1949"/>
      <c r="D95" s="1949"/>
      <c r="E95" s="1949"/>
      <c r="F95" s="1950"/>
      <c r="G95" s="2025">
        <f>F76+H76-(G87+G90)/D65*100%</f>
        <v>322555581.87</v>
      </c>
      <c r="H95" s="1984"/>
      <c r="I95" s="1985"/>
    </row>
    <row r="96" spans="1:9" ht="19.5" customHeight="1">
      <c r="A96" s="1948" t="s">
        <v>643</v>
      </c>
      <c r="B96" s="1949"/>
      <c r="C96" s="1949"/>
      <c r="D96" s="1949"/>
      <c r="E96" s="1949"/>
      <c r="F96" s="1950"/>
      <c r="G96" s="1963">
        <f>F79+H79-(G88+G91)/D65*100%</f>
        <v>56685270.43</v>
      </c>
      <c r="H96" s="1964"/>
      <c r="I96" s="1965"/>
    </row>
    <row r="97" spans="1:9" ht="19.5" customHeight="1">
      <c r="A97" s="1948" t="s">
        <v>644</v>
      </c>
      <c r="B97" s="1949"/>
      <c r="C97" s="1949"/>
      <c r="D97" s="1949"/>
      <c r="E97" s="1949"/>
      <c r="F97" s="1950"/>
      <c r="G97" s="1983">
        <f>100-(G95+G96)%</f>
        <v>-3792308.523</v>
      </c>
      <c r="H97" s="1984"/>
      <c r="I97" s="1985"/>
    </row>
    <row r="98" spans="1:9" ht="19.5" customHeight="1">
      <c r="A98" s="2105" t="s">
        <v>236</v>
      </c>
      <c r="B98" s="2106"/>
      <c r="C98" s="2106"/>
      <c r="D98" s="2106"/>
      <c r="E98" s="2106"/>
      <c r="F98" s="2106"/>
      <c r="G98" s="2106"/>
      <c r="H98" s="2106"/>
      <c r="I98" s="2107"/>
    </row>
    <row r="99" spans="1:9" ht="20.25" customHeight="1">
      <c r="A99" s="1960" t="s">
        <v>684</v>
      </c>
      <c r="B99" s="1961"/>
      <c r="C99" s="1961"/>
      <c r="D99" s="1962"/>
      <c r="E99" s="1986"/>
      <c r="F99" s="1987"/>
      <c r="G99" s="1987"/>
      <c r="H99" s="1987"/>
      <c r="I99" s="1988"/>
    </row>
    <row r="100" spans="1:9" ht="20.25" customHeight="1">
      <c r="A100" s="1934" t="s">
        <v>775</v>
      </c>
      <c r="B100" s="1935"/>
      <c r="C100" s="1935"/>
      <c r="D100" s="1936"/>
      <c r="E100" s="1918"/>
      <c r="F100" s="1919"/>
      <c r="G100" s="1919"/>
      <c r="H100" s="1919"/>
      <c r="I100" s="1920"/>
    </row>
    <row r="101" spans="1:9" s="625" customFormat="1" ht="20.25" customHeight="1">
      <c r="A101" s="1654" t="s">
        <v>401</v>
      </c>
      <c r="B101" s="1958"/>
      <c r="C101" s="1958"/>
      <c r="D101" s="1958"/>
      <c r="E101" s="1958"/>
      <c r="F101" s="1958"/>
      <c r="G101" s="1958"/>
      <c r="H101" s="1958"/>
      <c r="I101" s="1959"/>
    </row>
    <row r="102" spans="1:9" ht="18" customHeight="1">
      <c r="A102" s="2111" t="s">
        <v>645</v>
      </c>
      <c r="B102" s="1966" t="s">
        <v>228</v>
      </c>
      <c r="C102" s="757" t="s">
        <v>159</v>
      </c>
      <c r="D102" s="1969" t="s">
        <v>324</v>
      </c>
      <c r="E102" s="1970"/>
      <c r="F102" s="1930" t="s">
        <v>160</v>
      </c>
      <c r="G102" s="1931"/>
      <c r="H102" s="1937" t="s">
        <v>409</v>
      </c>
      <c r="I102" s="1938"/>
    </row>
    <row r="103" spans="1:9" ht="18" customHeight="1">
      <c r="A103" s="2112"/>
      <c r="B103" s="1967"/>
      <c r="C103" s="759" t="s">
        <v>162</v>
      </c>
      <c r="D103" s="757" t="s">
        <v>65</v>
      </c>
      <c r="E103" s="760" t="s">
        <v>63</v>
      </c>
      <c r="F103" s="757" t="s">
        <v>65</v>
      </c>
      <c r="G103" s="760" t="s">
        <v>63</v>
      </c>
      <c r="H103" s="1903"/>
      <c r="I103" s="1905"/>
    </row>
    <row r="104" spans="1:9" ht="18" customHeight="1">
      <c r="A104" s="2113"/>
      <c r="B104" s="1968"/>
      <c r="C104" s="763" t="s">
        <v>230</v>
      </c>
      <c r="D104" s="764" t="s">
        <v>237</v>
      </c>
      <c r="E104" s="1387" t="s">
        <v>238</v>
      </c>
      <c r="F104" s="764" t="s">
        <v>346</v>
      </c>
      <c r="G104" s="1387" t="s">
        <v>402</v>
      </c>
      <c r="H104" s="1939"/>
      <c r="I104" s="1940"/>
    </row>
    <row r="105" spans="1:9" s="831" customFormat="1" ht="18" customHeight="1">
      <c r="A105" s="1125" t="s">
        <v>473</v>
      </c>
      <c r="B105" s="765">
        <f>B106+B109</f>
        <v>179629472.99</v>
      </c>
      <c r="C105" s="765">
        <f>C106+C109</f>
        <v>202181030.68</v>
      </c>
      <c r="D105" s="766">
        <f>D106+D109</f>
        <v>189992541.57</v>
      </c>
      <c r="E105" s="767">
        <f>D105/C105*100</f>
        <v>93.97149719288393</v>
      </c>
      <c r="F105" s="768">
        <f>F106+F109</f>
        <v>169442598.7</v>
      </c>
      <c r="G105" s="767">
        <f>F105/C105*100</f>
        <v>83.80736715512325</v>
      </c>
      <c r="H105" s="1971">
        <f>H106+H109</f>
        <v>20549942.870000005</v>
      </c>
      <c r="I105" s="1972"/>
    </row>
    <row r="106" spans="1:9" s="831" customFormat="1" ht="18" customHeight="1">
      <c r="A106" s="1112" t="s">
        <v>474</v>
      </c>
      <c r="B106" s="769">
        <f>B107+B108</f>
        <v>53888841.89</v>
      </c>
      <c r="C106" s="769">
        <f>C107+C108</f>
        <v>60654309.2</v>
      </c>
      <c r="D106" s="770">
        <f>D107+D108</f>
        <v>56997762.47</v>
      </c>
      <c r="E106" s="771">
        <f aca="true" t="shared" si="7" ref="E106:E119">D106/C106*100</f>
        <v>93.97149719743241</v>
      </c>
      <c r="F106" s="770">
        <f>F107+F108</f>
        <v>50832779.599999994</v>
      </c>
      <c r="G106" s="771">
        <f aca="true" t="shared" si="8" ref="G106:G119">F106/C106*100</f>
        <v>83.80736714416327</v>
      </c>
      <c r="H106" s="1956">
        <f>H107+H108</f>
        <v>6164982.870000005</v>
      </c>
      <c r="I106" s="1957"/>
    </row>
    <row r="107" spans="1:9" ht="15.75" customHeight="1">
      <c r="A107" s="1126" t="s">
        <v>475</v>
      </c>
      <c r="B107" s="772">
        <v>36416446.78</v>
      </c>
      <c r="C107" s="772">
        <v>41979209.97</v>
      </c>
      <c r="D107" s="773">
        <v>38322663.24</v>
      </c>
      <c r="E107" s="774">
        <f t="shared" si="7"/>
        <v>91.28962471515517</v>
      </c>
      <c r="F107" s="775">
        <v>36697012.69</v>
      </c>
      <c r="G107" s="774">
        <f t="shared" si="8"/>
        <v>87.41711127061498</v>
      </c>
      <c r="H107" s="1922">
        <f>D107-F107</f>
        <v>1625650.5500000045</v>
      </c>
      <c r="I107" s="1923"/>
    </row>
    <row r="108" spans="1:9" ht="17.25" customHeight="1">
      <c r="A108" s="1126" t="s">
        <v>476</v>
      </c>
      <c r="B108" s="772">
        <v>17472395.11</v>
      </c>
      <c r="C108" s="772">
        <v>18675099.23</v>
      </c>
      <c r="D108" s="776">
        <v>18675099.23</v>
      </c>
      <c r="E108" s="774">
        <f t="shared" si="7"/>
        <v>100</v>
      </c>
      <c r="F108" s="775">
        <v>14135766.91</v>
      </c>
      <c r="G108" s="774">
        <f t="shared" si="8"/>
        <v>75.69312878023192</v>
      </c>
      <c r="H108" s="1922">
        <f>D108-F108</f>
        <v>4539332.32</v>
      </c>
      <c r="I108" s="1923"/>
    </row>
    <row r="109" spans="1:9" s="831" customFormat="1" ht="18" customHeight="1">
      <c r="A109" s="1112" t="s">
        <v>477</v>
      </c>
      <c r="B109" s="777">
        <f>B110+B111</f>
        <v>125740631.1</v>
      </c>
      <c r="C109" s="777">
        <f>C110+C111</f>
        <v>141526721.48</v>
      </c>
      <c r="D109" s="778">
        <f>D110+D111</f>
        <v>132994779.1</v>
      </c>
      <c r="E109" s="771">
        <f t="shared" si="7"/>
        <v>93.97149719093458</v>
      </c>
      <c r="F109" s="779">
        <f>F110+F111</f>
        <v>118609819.1</v>
      </c>
      <c r="G109" s="771">
        <f t="shared" si="8"/>
        <v>83.8073671598204</v>
      </c>
      <c r="H109" s="1973">
        <f>H110+H111</f>
        <v>14384960</v>
      </c>
      <c r="I109" s="1974"/>
    </row>
    <row r="110" spans="1:9" ht="15" customHeight="1">
      <c r="A110" s="1126" t="s">
        <v>478</v>
      </c>
      <c r="B110" s="772">
        <v>84971709.17</v>
      </c>
      <c r="C110" s="772">
        <v>97951489.94</v>
      </c>
      <c r="D110" s="776">
        <v>89419547.56</v>
      </c>
      <c r="E110" s="774">
        <f t="shared" si="7"/>
        <v>91.28962470583528</v>
      </c>
      <c r="F110" s="776">
        <v>85626362.95</v>
      </c>
      <c r="G110" s="774">
        <f t="shared" si="8"/>
        <v>87.41711126849655</v>
      </c>
      <c r="H110" s="1922">
        <f>D110-F110</f>
        <v>3793184.6099999994</v>
      </c>
      <c r="I110" s="1923"/>
    </row>
    <row r="111" spans="1:11" ht="15" customHeight="1">
      <c r="A111" s="1126" t="s">
        <v>479</v>
      </c>
      <c r="B111" s="772">
        <v>40768921.93</v>
      </c>
      <c r="C111" s="772">
        <v>43575231.54</v>
      </c>
      <c r="D111" s="776">
        <v>43575231.54</v>
      </c>
      <c r="E111" s="774">
        <f t="shared" si="7"/>
        <v>100</v>
      </c>
      <c r="F111" s="775">
        <v>32983456.15</v>
      </c>
      <c r="G111" s="774">
        <f t="shared" si="8"/>
        <v>75.69312883563853</v>
      </c>
      <c r="H111" s="1922">
        <f>D111-F111</f>
        <v>10591775.39</v>
      </c>
      <c r="I111" s="1923"/>
      <c r="K111" s="832"/>
    </row>
    <row r="112" spans="1:9" s="831" customFormat="1" ht="18" customHeight="1">
      <c r="A112" s="1112" t="s">
        <v>480</v>
      </c>
      <c r="B112" s="777">
        <f>B113+B114</f>
        <v>457678711.62</v>
      </c>
      <c r="C112" s="777">
        <f>C113+C114</f>
        <v>515667839.25</v>
      </c>
      <c r="D112" s="778">
        <f>D113+D114</f>
        <v>508655838.34000003</v>
      </c>
      <c r="E112" s="771">
        <f t="shared" si="7"/>
        <v>98.64020976755145</v>
      </c>
      <c r="F112" s="779">
        <f>F113+F114</f>
        <v>463811972.18</v>
      </c>
      <c r="G112" s="771">
        <f t="shared" si="8"/>
        <v>89.94394004764376</v>
      </c>
      <c r="H112" s="1973">
        <f>H113+H114</f>
        <v>44843866.16</v>
      </c>
      <c r="I112" s="1974"/>
    </row>
    <row r="113" spans="1:9" ht="18" customHeight="1">
      <c r="A113" s="1126" t="s">
        <v>481</v>
      </c>
      <c r="B113" s="772">
        <f>B78+B81</f>
        <v>228242797.15</v>
      </c>
      <c r="C113" s="772">
        <v>263464325.89</v>
      </c>
      <c r="D113" s="772">
        <f>D78+D81</f>
        <v>256917476.66</v>
      </c>
      <c r="E113" s="774">
        <f t="shared" si="7"/>
        <v>97.51509081622936</v>
      </c>
      <c r="F113" s="772">
        <f>F78+F81</f>
        <v>256917476.66</v>
      </c>
      <c r="G113" s="774">
        <f t="shared" si="8"/>
        <v>97.51509081622936</v>
      </c>
      <c r="H113" s="1922">
        <f>D113-F113</f>
        <v>0</v>
      </c>
      <c r="I113" s="1923"/>
    </row>
    <row r="114" spans="1:9" ht="15" customHeight="1">
      <c r="A114" s="1126" t="s">
        <v>482</v>
      </c>
      <c r="B114" s="772">
        <v>229435914.47</v>
      </c>
      <c r="C114" s="772">
        <v>252203513.36</v>
      </c>
      <c r="D114" s="776">
        <v>251738361.68</v>
      </c>
      <c r="E114" s="774">
        <f t="shared" si="7"/>
        <v>99.815564948401</v>
      </c>
      <c r="F114" s="775">
        <v>206894495.52</v>
      </c>
      <c r="G114" s="774">
        <f t="shared" si="8"/>
        <v>82.03473962897374</v>
      </c>
      <c r="H114" s="1922">
        <f>D114-F114</f>
        <v>44843866.16</v>
      </c>
      <c r="I114" s="1923"/>
    </row>
    <row r="115" spans="1:9" s="831" customFormat="1" ht="15" customHeight="1">
      <c r="A115" s="1112" t="s">
        <v>483</v>
      </c>
      <c r="B115" s="777"/>
      <c r="C115" s="777"/>
      <c r="D115" s="778"/>
      <c r="E115" s="771"/>
      <c r="F115" s="779"/>
      <c r="G115" s="771"/>
      <c r="H115" s="2027"/>
      <c r="I115" s="2015"/>
    </row>
    <row r="116" spans="1:9" s="831" customFormat="1" ht="15" customHeight="1">
      <c r="A116" s="1112" t="s">
        <v>484</v>
      </c>
      <c r="B116" s="777"/>
      <c r="C116" s="777"/>
      <c r="D116" s="778"/>
      <c r="E116" s="771"/>
      <c r="F116" s="779"/>
      <c r="G116" s="771"/>
      <c r="H116" s="2027"/>
      <c r="I116" s="2015"/>
    </row>
    <row r="117" spans="1:9" s="831" customFormat="1" ht="16.5" customHeight="1">
      <c r="A117" s="1112" t="s">
        <v>485</v>
      </c>
      <c r="B117" s="777"/>
      <c r="C117" s="777"/>
      <c r="D117" s="778"/>
      <c r="E117" s="771"/>
      <c r="F117" s="779"/>
      <c r="G117" s="771"/>
      <c r="H117" s="2027"/>
      <c r="I117" s="2015"/>
    </row>
    <row r="118" spans="1:9" s="831" customFormat="1" ht="15" customHeight="1">
      <c r="A118" s="1127" t="s">
        <v>486</v>
      </c>
      <c r="B118" s="777"/>
      <c r="C118" s="777"/>
      <c r="D118" s="776"/>
      <c r="E118" s="780"/>
      <c r="F118" s="779"/>
      <c r="G118" s="780"/>
      <c r="H118" s="2056"/>
      <c r="I118" s="2057"/>
    </row>
    <row r="119" spans="1:9" s="831" customFormat="1" ht="21.75" customHeight="1">
      <c r="A119" s="1127" t="s">
        <v>487</v>
      </c>
      <c r="B119" s="781">
        <f>B105+B112+B115+B116+B117+B118</f>
        <v>637308184.61</v>
      </c>
      <c r="C119" s="781">
        <f>C105+C112+C115+C116+C117+C118</f>
        <v>717848869.9300001</v>
      </c>
      <c r="D119" s="781">
        <f>D105+D112+D115+D116+D117+D118</f>
        <v>698648379.9100001</v>
      </c>
      <c r="E119" s="782">
        <f t="shared" si="7"/>
        <v>97.3252740480218</v>
      </c>
      <c r="F119" s="783">
        <f>F105+F112+F115+F116+F117+F118</f>
        <v>633254570.88</v>
      </c>
      <c r="G119" s="784">
        <f t="shared" si="8"/>
        <v>88.21558372610531</v>
      </c>
      <c r="H119" s="2058">
        <f>H105+H112+H115+H116+H117+H118</f>
        <v>65393809.03</v>
      </c>
      <c r="I119" s="2059"/>
    </row>
    <row r="120" spans="1:9" ht="10.5" customHeight="1">
      <c r="A120" s="1990" t="s">
        <v>646</v>
      </c>
      <c r="B120" s="1991"/>
      <c r="C120" s="1991"/>
      <c r="D120" s="1992"/>
      <c r="E120" s="2050" t="s">
        <v>164</v>
      </c>
      <c r="F120" s="2051"/>
      <c r="G120" s="2051"/>
      <c r="H120" s="2051"/>
      <c r="I120" s="2052"/>
    </row>
    <row r="121" spans="1:9" ht="10.5" customHeight="1">
      <c r="A121" s="1993"/>
      <c r="B121" s="1994"/>
      <c r="C121" s="1994"/>
      <c r="D121" s="1995"/>
      <c r="E121" s="1993"/>
      <c r="F121" s="1994"/>
      <c r="G121" s="1994"/>
      <c r="H121" s="1994"/>
      <c r="I121" s="1995"/>
    </row>
    <row r="122" spans="1:9" ht="9" customHeight="1">
      <c r="A122" s="1996"/>
      <c r="B122" s="1997"/>
      <c r="C122" s="1997"/>
      <c r="D122" s="1998"/>
      <c r="E122" s="2053"/>
      <c r="F122" s="2054"/>
      <c r="G122" s="2054"/>
      <c r="H122" s="2054"/>
      <c r="I122" s="2055"/>
    </row>
    <row r="123" spans="1:9" ht="18" customHeight="1">
      <c r="A123" s="2001" t="s">
        <v>488</v>
      </c>
      <c r="B123" s="2002"/>
      <c r="C123" s="2002"/>
      <c r="D123" s="2003"/>
      <c r="E123" s="1951">
        <f>D69</f>
        <v>-43195744.120000035</v>
      </c>
      <c r="F123" s="1951"/>
      <c r="G123" s="1951"/>
      <c r="H123" s="1951"/>
      <c r="I123" s="1951"/>
    </row>
    <row r="124" spans="1:9" ht="18" customHeight="1">
      <c r="A124" s="2001" t="s">
        <v>489</v>
      </c>
      <c r="B124" s="2002"/>
      <c r="C124" s="2002"/>
      <c r="D124" s="2003"/>
      <c r="E124" s="1951">
        <v>187716056.45</v>
      </c>
      <c r="F124" s="1951"/>
      <c r="G124" s="1951"/>
      <c r="H124" s="1951"/>
      <c r="I124" s="1951"/>
    </row>
    <row r="125" spans="1:9" ht="18" customHeight="1">
      <c r="A125" s="2001" t="s">
        <v>685</v>
      </c>
      <c r="B125" s="2002"/>
      <c r="C125" s="2002"/>
      <c r="D125" s="2003"/>
      <c r="E125" s="1951"/>
      <c r="F125" s="1951"/>
      <c r="G125" s="1951"/>
      <c r="H125" s="1951"/>
      <c r="I125" s="1951"/>
    </row>
    <row r="126" spans="1:9" ht="36.75" customHeight="1">
      <c r="A126" s="2001" t="s">
        <v>686</v>
      </c>
      <c r="B126" s="2002"/>
      <c r="C126" s="2002"/>
      <c r="D126" s="2003"/>
      <c r="E126" s="2049"/>
      <c r="F126" s="2049"/>
      <c r="G126" s="2049"/>
      <c r="H126" s="2049"/>
      <c r="I126" s="2049"/>
    </row>
    <row r="127" spans="1:9" ht="39" customHeight="1">
      <c r="A127" s="2001" t="s">
        <v>687</v>
      </c>
      <c r="B127" s="2002"/>
      <c r="C127" s="2002"/>
      <c r="D127" s="2003"/>
      <c r="E127" s="2026"/>
      <c r="F127" s="2026"/>
      <c r="G127" s="2026"/>
      <c r="H127" s="2026"/>
      <c r="I127" s="2026"/>
    </row>
    <row r="128" spans="1:9" ht="33" customHeight="1">
      <c r="A128" s="2001" t="s">
        <v>688</v>
      </c>
      <c r="B128" s="2002"/>
      <c r="C128" s="2002"/>
      <c r="D128" s="2003"/>
      <c r="E128" s="2026"/>
      <c r="F128" s="2026"/>
      <c r="G128" s="2026"/>
      <c r="H128" s="2026"/>
      <c r="I128" s="2026"/>
    </row>
    <row r="129" spans="1:9" ht="33" customHeight="1">
      <c r="A129" s="1915" t="s">
        <v>689</v>
      </c>
      <c r="B129" s="1916"/>
      <c r="C129" s="1916"/>
      <c r="D129" s="1917"/>
      <c r="E129" s="1918">
        <f>E123+E124+E125+E126+E127+E128</f>
        <v>144520312.32999995</v>
      </c>
      <c r="F129" s="1919"/>
      <c r="G129" s="1919"/>
      <c r="H129" s="1919"/>
      <c r="I129" s="1920"/>
    </row>
    <row r="130" spans="1:9" ht="18" customHeight="1">
      <c r="A130" s="2036" t="s">
        <v>690</v>
      </c>
      <c r="B130" s="2037"/>
      <c r="C130" s="2037"/>
      <c r="D130" s="1916"/>
      <c r="E130" s="1951">
        <f>(F105+F112+H105+H112)-E129</f>
        <v>554128067.58</v>
      </c>
      <c r="F130" s="1951"/>
      <c r="G130" s="1951"/>
      <c r="H130" s="1951"/>
      <c r="I130" s="1951"/>
    </row>
    <row r="131" spans="1:9" ht="18" customHeight="1">
      <c r="A131" s="2036" t="s">
        <v>691</v>
      </c>
      <c r="B131" s="2037"/>
      <c r="C131" s="2037"/>
      <c r="D131" s="1916"/>
      <c r="E131" s="2048">
        <f>(E130/D36)*100</f>
        <v>25.83261905071695</v>
      </c>
      <c r="F131" s="2048"/>
      <c r="G131" s="2048"/>
      <c r="H131" s="2048"/>
      <c r="I131" s="2048"/>
    </row>
    <row r="132" spans="1:9" s="625" customFormat="1" ht="8.25" customHeight="1">
      <c r="A132" s="800"/>
      <c r="B132" s="800"/>
      <c r="C132" s="800"/>
      <c r="D132" s="800"/>
      <c r="E132" s="833"/>
      <c r="F132" s="833"/>
      <c r="G132" s="834"/>
      <c r="H132" s="835"/>
      <c r="I132" s="834"/>
    </row>
    <row r="133" spans="1:9" s="625" customFormat="1" ht="18" customHeight="1">
      <c r="A133" s="1952" t="s">
        <v>239</v>
      </c>
      <c r="B133" s="1953"/>
      <c r="C133" s="1953"/>
      <c r="D133" s="1953"/>
      <c r="E133" s="1953"/>
      <c r="F133" s="1953"/>
      <c r="G133" s="1953"/>
      <c r="H133" s="1953"/>
      <c r="I133" s="1954"/>
    </row>
    <row r="134" spans="1:9" ht="18" customHeight="1">
      <c r="A134" s="2111" t="s">
        <v>647</v>
      </c>
      <c r="B134" s="759" t="s">
        <v>159</v>
      </c>
      <c r="C134" s="759" t="s">
        <v>159</v>
      </c>
      <c r="D134" s="2040" t="s">
        <v>324</v>
      </c>
      <c r="E134" s="2041"/>
      <c r="F134" s="2038" t="s">
        <v>160</v>
      </c>
      <c r="G134" s="2039"/>
      <c r="H134" s="1937" t="s">
        <v>404</v>
      </c>
      <c r="I134" s="1938"/>
    </row>
    <row r="135" spans="1:9" ht="18" customHeight="1">
      <c r="A135" s="2112"/>
      <c r="B135" s="759" t="s">
        <v>161</v>
      </c>
      <c r="C135" s="759" t="s">
        <v>162</v>
      </c>
      <c r="D135" s="829" t="s">
        <v>65</v>
      </c>
      <c r="E135" s="837" t="s">
        <v>63</v>
      </c>
      <c r="F135" s="836" t="s">
        <v>65</v>
      </c>
      <c r="G135" s="760" t="s">
        <v>63</v>
      </c>
      <c r="H135" s="1903"/>
      <c r="I135" s="1905"/>
    </row>
    <row r="136" spans="1:9" ht="18" customHeight="1">
      <c r="A136" s="2113"/>
      <c r="B136" s="762"/>
      <c r="C136" s="763" t="s">
        <v>230</v>
      </c>
      <c r="D136" s="830" t="s">
        <v>237</v>
      </c>
      <c r="E136" s="838" t="s">
        <v>238</v>
      </c>
      <c r="F136" s="839" t="s">
        <v>346</v>
      </c>
      <c r="G136" s="840" t="s">
        <v>402</v>
      </c>
      <c r="H136" s="1939"/>
      <c r="I136" s="1940"/>
    </row>
    <row r="137" spans="1:9" ht="36" customHeight="1">
      <c r="A137" s="1128" t="s">
        <v>692</v>
      </c>
      <c r="B137" s="816">
        <v>3414048.69</v>
      </c>
      <c r="C137" s="816">
        <v>588877</v>
      </c>
      <c r="D137" s="872">
        <v>0</v>
      </c>
      <c r="E137" s="841">
        <f>D137/C137*100</f>
        <v>0</v>
      </c>
      <c r="F137" s="816">
        <v>0</v>
      </c>
      <c r="G137" s="871">
        <f aca="true" t="shared" si="9" ref="G137:G142">F137/C137*100</f>
        <v>0</v>
      </c>
      <c r="H137" s="2043">
        <f>D137-F137</f>
        <v>0</v>
      </c>
      <c r="I137" s="2044"/>
    </row>
    <row r="138" spans="1:9" s="831" customFormat="1" ht="30" customHeight="1">
      <c r="A138" s="1112" t="s">
        <v>693</v>
      </c>
      <c r="B138" s="816">
        <v>5363923</v>
      </c>
      <c r="C138" s="816">
        <v>7139448.83</v>
      </c>
      <c r="D138" s="776">
        <v>5058049.17</v>
      </c>
      <c r="E138" s="881">
        <f>D138/C138*100</f>
        <v>70.84649376218024</v>
      </c>
      <c r="F138" s="819">
        <v>4368146.41</v>
      </c>
      <c r="G138" s="882">
        <f t="shared" si="9"/>
        <v>61.183244169284144</v>
      </c>
      <c r="H138" s="1944">
        <f>D138-F138</f>
        <v>689902.7599999998</v>
      </c>
      <c r="I138" s="1945"/>
    </row>
    <row r="139" spans="1:9" s="831" customFormat="1" ht="34.5" customHeight="1">
      <c r="A139" s="1112" t="s">
        <v>694</v>
      </c>
      <c r="B139" s="816"/>
      <c r="C139" s="816"/>
      <c r="D139" s="776"/>
      <c r="E139" s="841"/>
      <c r="F139" s="819"/>
      <c r="G139" s="842"/>
      <c r="H139" s="1944"/>
      <c r="I139" s="1945"/>
    </row>
    <row r="140" spans="1:9" s="831" customFormat="1" ht="30.75" customHeight="1">
      <c r="A140" s="1112" t="s">
        <v>695</v>
      </c>
      <c r="B140" s="816">
        <v>42722007.2</v>
      </c>
      <c r="C140" s="816">
        <v>39429234.79</v>
      </c>
      <c r="D140" s="887">
        <v>19173668.37</v>
      </c>
      <c r="E140" s="880">
        <f>D140/C140*100</f>
        <v>48.62805091734321</v>
      </c>
      <c r="F140" s="888">
        <v>13246373.22</v>
      </c>
      <c r="G140" s="871">
        <f t="shared" si="9"/>
        <v>33.595308888316374</v>
      </c>
      <c r="H140" s="1944">
        <f>D140-F140</f>
        <v>5927295.15</v>
      </c>
      <c r="I140" s="1945"/>
    </row>
    <row r="141" spans="1:9" s="831" customFormat="1" ht="33" customHeight="1">
      <c r="A141" s="1129" t="s">
        <v>720</v>
      </c>
      <c r="B141" s="843">
        <f>B137+B138+B139+B140</f>
        <v>51499978.89</v>
      </c>
      <c r="C141" s="843">
        <f>C137+C138+C139+C140</f>
        <v>47157560.62</v>
      </c>
      <c r="D141" s="844">
        <f>D137+D138+D139+D140</f>
        <v>24231717.54</v>
      </c>
      <c r="E141" s="845">
        <f>D141/C141*100</f>
        <v>51.38458652529003</v>
      </c>
      <c r="F141" s="846">
        <f>F137+F138+F139+F140</f>
        <v>17614519.630000003</v>
      </c>
      <c r="G141" s="883">
        <f t="shared" si="9"/>
        <v>37.35248261024237</v>
      </c>
      <c r="H141" s="1946">
        <f>H137+H138+H139+H140</f>
        <v>6617197.91</v>
      </c>
      <c r="I141" s="1947"/>
    </row>
    <row r="142" spans="1:9" s="831" customFormat="1" ht="18" customHeight="1">
      <c r="A142" s="1130" t="s">
        <v>721</v>
      </c>
      <c r="B142" s="847">
        <f>B119+B141</f>
        <v>688808163.5</v>
      </c>
      <c r="C142" s="847">
        <f>C119+C141</f>
        <v>765006430.5500001</v>
      </c>
      <c r="D142" s="847">
        <f>D119+D141</f>
        <v>722880097.45</v>
      </c>
      <c r="E142" s="848">
        <f>D142/C142*100</f>
        <v>94.49333607957865</v>
      </c>
      <c r="F142" s="849">
        <f>F119+F141</f>
        <v>650869090.51</v>
      </c>
      <c r="G142" s="850">
        <f t="shared" si="9"/>
        <v>85.0802116842415</v>
      </c>
      <c r="H142" s="2045">
        <f>H119+H141</f>
        <v>72011006.94</v>
      </c>
      <c r="I142" s="2046">
        <f>I119+I141+K119+K141</f>
        <v>0</v>
      </c>
    </row>
    <row r="143" spans="1:9" s="831" customFormat="1" ht="18" customHeight="1">
      <c r="A143" s="1906"/>
      <c r="B143" s="1907"/>
      <c r="C143" s="1907"/>
      <c r="D143" s="1907"/>
      <c r="E143" s="1907"/>
      <c r="F143" s="1907"/>
      <c r="G143" s="1907"/>
      <c r="H143" s="1907"/>
      <c r="I143" s="1908"/>
    </row>
    <row r="144" spans="1:9" ht="31.5" customHeight="1">
      <c r="A144" s="1131" t="s">
        <v>240</v>
      </c>
      <c r="B144" s="1930" t="s">
        <v>241</v>
      </c>
      <c r="C144" s="1931"/>
      <c r="D144" s="1930" t="s">
        <v>403</v>
      </c>
      <c r="E144" s="2047"/>
      <c r="F144" s="2047"/>
      <c r="G144" s="2047"/>
      <c r="H144" s="2047"/>
      <c r="I144" s="1931"/>
    </row>
    <row r="145" spans="1:9" ht="34.5" customHeight="1">
      <c r="A145" s="1132" t="s">
        <v>696</v>
      </c>
      <c r="B145" s="1928">
        <f>B146+B147</f>
        <v>0</v>
      </c>
      <c r="C145" s="1929"/>
      <c r="D145" s="2042">
        <f>D146+D147</f>
        <v>0</v>
      </c>
      <c r="E145" s="2042"/>
      <c r="F145" s="2042"/>
      <c r="G145" s="2042"/>
      <c r="H145" s="2042"/>
      <c r="I145" s="2042"/>
    </row>
    <row r="146" spans="1:9" ht="18" customHeight="1">
      <c r="A146" s="1133" t="s">
        <v>697</v>
      </c>
      <c r="B146" s="2034"/>
      <c r="C146" s="2035"/>
      <c r="D146" s="1921"/>
      <c r="E146" s="1921"/>
      <c r="F146" s="1921"/>
      <c r="G146" s="1921"/>
      <c r="H146" s="1921"/>
      <c r="I146" s="1921"/>
    </row>
    <row r="147" spans="1:9" ht="18" customHeight="1">
      <c r="A147" s="1133" t="s">
        <v>698</v>
      </c>
      <c r="B147" s="2034"/>
      <c r="C147" s="2035"/>
      <c r="D147" s="1921"/>
      <c r="E147" s="1921"/>
      <c r="F147" s="1921"/>
      <c r="G147" s="1921"/>
      <c r="H147" s="1921"/>
      <c r="I147" s="1921"/>
    </row>
    <row r="148" spans="1:9" ht="17.25" customHeight="1">
      <c r="A148" s="1909"/>
      <c r="B148" s="1910"/>
      <c r="C148" s="1910"/>
      <c r="D148" s="1910"/>
      <c r="E148" s="1910"/>
      <c r="F148" s="1910"/>
      <c r="G148" s="1910"/>
      <c r="H148" s="1910"/>
      <c r="I148" s="1911"/>
    </row>
    <row r="149" spans="1:9" ht="12" customHeight="1">
      <c r="A149" s="2030" t="s">
        <v>490</v>
      </c>
      <c r="B149" s="2031"/>
      <c r="C149" s="2031"/>
      <c r="D149" s="2031"/>
      <c r="E149" s="2114" t="s">
        <v>491</v>
      </c>
      <c r="F149" s="2086"/>
      <c r="G149" s="2086" t="s">
        <v>492</v>
      </c>
      <c r="H149" s="2086"/>
      <c r="I149" s="2087"/>
    </row>
    <row r="150" spans="1:9" ht="12.75" customHeight="1">
      <c r="A150" s="2032"/>
      <c r="B150" s="2033"/>
      <c r="C150" s="2033"/>
      <c r="D150" s="2033"/>
      <c r="E150" s="2115"/>
      <c r="F150" s="2075"/>
      <c r="G150" s="2075"/>
      <c r="H150" s="2075"/>
      <c r="I150" s="2088"/>
    </row>
    <row r="151" spans="1:9" ht="23.25" customHeight="1">
      <c r="A151" s="1924" t="s">
        <v>915</v>
      </c>
      <c r="B151" s="1925"/>
      <c r="C151" s="1925"/>
      <c r="D151" s="1926"/>
      <c r="E151" s="1927">
        <v>56416124.64</v>
      </c>
      <c r="F151" s="1927"/>
      <c r="G151" s="1927">
        <v>5315553.11</v>
      </c>
      <c r="H151" s="1927"/>
      <c r="I151" s="1927"/>
    </row>
    <row r="152" spans="1:9" ht="18" customHeight="1">
      <c r="A152" s="2029" t="s">
        <v>699</v>
      </c>
      <c r="B152" s="2029"/>
      <c r="C152" s="2029"/>
      <c r="D152" s="2029"/>
      <c r="E152" s="1932">
        <v>395953283.94</v>
      </c>
      <c r="F152" s="1932"/>
      <c r="G152" s="1932">
        <v>4280402.17</v>
      </c>
      <c r="H152" s="1932"/>
      <c r="I152" s="1932"/>
    </row>
    <row r="153" spans="1:9" ht="18" customHeight="1">
      <c r="A153" s="2029" t="s">
        <v>700</v>
      </c>
      <c r="B153" s="2029"/>
      <c r="C153" s="2029"/>
      <c r="D153" s="2029"/>
      <c r="E153" s="1927">
        <f>E154+E155</f>
        <v>391651493.81</v>
      </c>
      <c r="F153" s="1927"/>
      <c r="G153" s="1927">
        <f>G154+G155</f>
        <v>5881909.12</v>
      </c>
      <c r="H153" s="1927"/>
      <c r="I153" s="1927"/>
    </row>
    <row r="154" spans="1:9" ht="18" customHeight="1">
      <c r="A154" s="1912" t="s">
        <v>701</v>
      </c>
      <c r="B154" s="1913"/>
      <c r="C154" s="1913"/>
      <c r="D154" s="1914"/>
      <c r="E154" s="1921">
        <v>378549412.49</v>
      </c>
      <c r="F154" s="1921"/>
      <c r="G154" s="1932">
        <v>4140892.41</v>
      </c>
      <c r="H154" s="1932"/>
      <c r="I154" s="1932"/>
    </row>
    <row r="155" spans="1:9" ht="18" customHeight="1">
      <c r="A155" s="1912" t="s">
        <v>702</v>
      </c>
      <c r="B155" s="1913"/>
      <c r="C155" s="1913"/>
      <c r="D155" s="1914"/>
      <c r="E155" s="1921">
        <v>13102081.32</v>
      </c>
      <c r="F155" s="1921"/>
      <c r="G155" s="1932">
        <v>1741016.71</v>
      </c>
      <c r="H155" s="1932"/>
      <c r="I155" s="1932"/>
    </row>
    <row r="156" spans="1:9" ht="18" customHeight="1">
      <c r="A156" s="2029" t="s">
        <v>703</v>
      </c>
      <c r="B156" s="2029"/>
      <c r="C156" s="2029"/>
      <c r="D156" s="2029"/>
      <c r="E156" s="1921">
        <v>440922.92</v>
      </c>
      <c r="F156" s="1921"/>
      <c r="G156" s="1932">
        <v>23703.25</v>
      </c>
      <c r="H156" s="1932"/>
      <c r="I156" s="1932"/>
    </row>
    <row r="157" spans="1:9" ht="18" customHeight="1">
      <c r="A157" s="1912" t="s">
        <v>704</v>
      </c>
      <c r="B157" s="1913"/>
      <c r="C157" s="1913"/>
      <c r="D157" s="1914"/>
      <c r="E157" s="1927">
        <f>E151+E152-E153+E156</f>
        <v>61158837.68999998</v>
      </c>
      <c r="F157" s="1927"/>
      <c r="G157" s="1933">
        <f>G151+G152-G153+G156</f>
        <v>3737749.410000001</v>
      </c>
      <c r="H157" s="1933"/>
      <c r="I157" s="1933"/>
    </row>
    <row r="158" spans="1:9" ht="18" customHeight="1">
      <c r="A158" s="1912" t="s">
        <v>705</v>
      </c>
      <c r="B158" s="1913"/>
      <c r="C158" s="1913"/>
      <c r="D158" s="1914"/>
      <c r="E158" s="1927">
        <f>E159-E160+E161+E162</f>
        <v>9585695.08</v>
      </c>
      <c r="F158" s="1927"/>
      <c r="G158" s="1927">
        <f>G159-G160+G161+G162</f>
        <v>0</v>
      </c>
      <c r="H158" s="1927"/>
      <c r="I158" s="1927"/>
    </row>
    <row r="159" spans="1:9" ht="18" customHeight="1">
      <c r="A159" s="1912" t="s">
        <v>706</v>
      </c>
      <c r="B159" s="1913"/>
      <c r="C159" s="1913"/>
      <c r="D159" s="1914"/>
      <c r="E159" s="1921">
        <v>9585695.08</v>
      </c>
      <c r="F159" s="1921"/>
      <c r="G159" s="1921"/>
      <c r="H159" s="1921"/>
      <c r="I159" s="1921"/>
    </row>
    <row r="160" spans="1:9" ht="18" customHeight="1">
      <c r="A160" s="1912" t="s">
        <v>707</v>
      </c>
      <c r="B160" s="1913"/>
      <c r="C160" s="1913"/>
      <c r="D160" s="1914"/>
      <c r="E160" s="1921"/>
      <c r="F160" s="1921"/>
      <c r="G160" s="1921"/>
      <c r="H160" s="1921"/>
      <c r="I160" s="1921"/>
    </row>
    <row r="161" spans="1:9" ht="18" customHeight="1">
      <c r="A161" s="1912" t="s">
        <v>708</v>
      </c>
      <c r="B161" s="1913"/>
      <c r="C161" s="1913"/>
      <c r="D161" s="1914"/>
      <c r="E161" s="1921"/>
      <c r="F161" s="1921"/>
      <c r="G161" s="1921"/>
      <c r="H161" s="1921"/>
      <c r="I161" s="1921"/>
    </row>
    <row r="162" spans="1:9" ht="18" customHeight="1">
      <c r="A162" s="1912" t="s">
        <v>709</v>
      </c>
      <c r="B162" s="1913"/>
      <c r="C162" s="1913"/>
      <c r="D162" s="1914"/>
      <c r="E162" s="1921"/>
      <c r="F162" s="1921"/>
      <c r="G162" s="1921"/>
      <c r="H162" s="1921"/>
      <c r="I162" s="1921"/>
    </row>
    <row r="163" spans="1:9" ht="21.75" customHeight="1">
      <c r="A163" s="2029" t="s">
        <v>710</v>
      </c>
      <c r="B163" s="2029"/>
      <c r="C163" s="2029"/>
      <c r="D163" s="2029"/>
      <c r="E163" s="1927">
        <f>E157+E158</f>
        <v>70744532.76999998</v>
      </c>
      <c r="F163" s="1927"/>
      <c r="G163" s="1927">
        <f>G157+G158</f>
        <v>3737749.410000001</v>
      </c>
      <c r="H163" s="1927"/>
      <c r="I163" s="1927"/>
    </row>
    <row r="164" spans="1:8" ht="18" customHeight="1">
      <c r="A164" s="269" t="str">
        <f>'[14]Anexo III _ RCL'!A35</f>
        <v>FONTE: SECRETARIA MUNICIPAL DA FAZENDA</v>
      </c>
      <c r="B164" s="286"/>
      <c r="C164" s="800"/>
      <c r="D164" s="800"/>
      <c r="E164" s="851"/>
      <c r="F164" s="851"/>
      <c r="G164" s="2028"/>
      <c r="H164" s="2028"/>
    </row>
    <row r="165" spans="1:8" s="625" customFormat="1" ht="18.75" customHeight="1">
      <c r="A165" s="269" t="str">
        <f>'Anexo 1 _ BAL ORC'!A95</f>
        <v>  São Luís,  de Janeiro de 2021.</v>
      </c>
      <c r="B165" s="801"/>
      <c r="C165" s="801"/>
      <c r="D165" s="801"/>
      <c r="E165" s="801"/>
      <c r="F165" s="1397"/>
      <c r="G165" s="852"/>
      <c r="H165" s="811"/>
    </row>
    <row r="166" spans="1:8" s="625" customFormat="1" ht="15.75">
      <c r="A166" s="786"/>
      <c r="B166" s="853"/>
      <c r="C166" s="853"/>
      <c r="D166" s="853"/>
      <c r="E166" s="853"/>
      <c r="F166" s="853"/>
      <c r="G166" s="854"/>
      <c r="H166" s="854"/>
    </row>
    <row r="167" spans="1:8" ht="15">
      <c r="A167" s="855"/>
      <c r="B167" s="761"/>
      <c r="C167" s="801"/>
      <c r="D167" s="761"/>
      <c r="E167" s="761"/>
      <c r="F167" s="761"/>
      <c r="G167" s="761"/>
      <c r="H167" s="761"/>
    </row>
    <row r="168" spans="1:8" ht="15">
      <c r="A168" s="855"/>
      <c r="B168" s="761"/>
      <c r="C168" s="801"/>
      <c r="D168" s="761"/>
      <c r="E168" s="761"/>
      <c r="F168" s="761"/>
      <c r="G168" s="761"/>
      <c r="H168" s="761"/>
    </row>
    <row r="169" spans="1:8" ht="19.5" customHeight="1">
      <c r="A169" s="802"/>
      <c r="B169" s="761"/>
      <c r="C169" s="801"/>
      <c r="D169" s="761"/>
      <c r="E169" s="761"/>
      <c r="F169" s="761"/>
      <c r="G169" s="761"/>
      <c r="H169" s="761"/>
    </row>
    <row r="170" spans="1:8" ht="15.75">
      <c r="A170" s="800"/>
      <c r="B170" s="761"/>
      <c r="C170" s="761"/>
      <c r="D170" s="761"/>
      <c r="E170" s="761"/>
      <c r="F170" s="761"/>
      <c r="G170" s="625"/>
      <c r="H170" s="625"/>
    </row>
    <row r="171" spans="2:8" ht="15">
      <c r="B171" s="625"/>
      <c r="C171" s="625"/>
      <c r="D171" s="625"/>
      <c r="E171" s="625"/>
      <c r="F171" s="625"/>
      <c r="G171" s="625"/>
      <c r="H171" s="625"/>
    </row>
    <row r="172" spans="2:8" ht="15">
      <c r="B172" s="625"/>
      <c r="C172" s="625"/>
      <c r="D172" s="625"/>
      <c r="E172" s="625"/>
      <c r="F172" s="625"/>
      <c r="G172" s="625"/>
      <c r="H172" s="625"/>
    </row>
    <row r="173" spans="2:8" ht="15">
      <c r="B173" s="625"/>
      <c r="C173" s="625"/>
      <c r="D173" s="625"/>
      <c r="E173" s="625"/>
      <c r="F173" s="625"/>
      <c r="G173" s="625"/>
      <c r="H173" s="625"/>
    </row>
    <row r="174" spans="2:8" ht="15">
      <c r="B174" s="625"/>
      <c r="C174" s="625"/>
      <c r="D174" s="625"/>
      <c r="E174" s="625"/>
      <c r="F174" s="625"/>
      <c r="G174" s="625"/>
      <c r="H174" s="625"/>
    </row>
    <row r="175" spans="2:8" ht="15">
      <c r="B175" s="625"/>
      <c r="C175" s="625"/>
      <c r="D175" s="625"/>
      <c r="E175" s="625"/>
      <c r="F175" s="625"/>
      <c r="G175" s="625"/>
      <c r="H175" s="625"/>
    </row>
    <row r="176" spans="2:8" ht="15">
      <c r="B176" s="625"/>
      <c r="C176" s="625"/>
      <c r="D176" s="625"/>
      <c r="E176" s="625"/>
      <c r="F176" s="625"/>
      <c r="G176" s="625"/>
      <c r="H176" s="625"/>
    </row>
    <row r="177" spans="1:9" ht="15">
      <c r="A177" s="790"/>
      <c r="B177" s="625"/>
      <c r="C177" s="625"/>
      <c r="D177" s="625"/>
      <c r="E177" s="625"/>
      <c r="F177" s="625"/>
      <c r="G177" s="625"/>
      <c r="H177" s="625"/>
      <c r="I177" s="790"/>
    </row>
    <row r="178" spans="1:9" ht="4.5" customHeight="1">
      <c r="A178" s="790"/>
      <c r="B178" s="625"/>
      <c r="C178" s="625"/>
      <c r="D178" s="625"/>
      <c r="E178" s="625"/>
      <c r="F178" s="625"/>
      <c r="G178" s="625"/>
      <c r="H178" s="625"/>
      <c r="I178" s="790"/>
    </row>
    <row r="179" spans="1:9" ht="15" hidden="1">
      <c r="A179" s="790"/>
      <c r="I179" s="790"/>
    </row>
    <row r="180" spans="1:9" ht="15" hidden="1">
      <c r="A180" s="790"/>
      <c r="I180" s="790"/>
    </row>
  </sheetData>
  <sheetProtection/>
  <mergeCells count="281">
    <mergeCell ref="A37:A39"/>
    <mergeCell ref="G69:I69"/>
    <mergeCell ref="E159:F159"/>
    <mergeCell ref="E160:F160"/>
    <mergeCell ref="D29:F29"/>
    <mergeCell ref="A102:A104"/>
    <mergeCell ref="A134:A136"/>
    <mergeCell ref="E149:F150"/>
    <mergeCell ref="E152:F152"/>
    <mergeCell ref="D41:F41"/>
    <mergeCell ref="D40:F40"/>
    <mergeCell ref="E158:F158"/>
    <mergeCell ref="E157:F157"/>
    <mergeCell ref="D68:F68"/>
    <mergeCell ref="E151:F151"/>
    <mergeCell ref="A98:I98"/>
    <mergeCell ref="E155:F155"/>
    <mergeCell ref="E156:F156"/>
    <mergeCell ref="D69:F69"/>
    <mergeCell ref="G61:I61"/>
    <mergeCell ref="D66:F66"/>
    <mergeCell ref="G53:I53"/>
    <mergeCell ref="D64:F64"/>
    <mergeCell ref="D65:F65"/>
    <mergeCell ref="D58:F58"/>
    <mergeCell ref="G51:I51"/>
    <mergeCell ref="G52:I52"/>
    <mergeCell ref="D52:F52"/>
    <mergeCell ref="G63:I63"/>
    <mergeCell ref="G62:I62"/>
    <mergeCell ref="D13:F13"/>
    <mergeCell ref="G33:I33"/>
    <mergeCell ref="G13:I13"/>
    <mergeCell ref="G14:I14"/>
    <mergeCell ref="D20:F20"/>
    <mergeCell ref="G44:I44"/>
    <mergeCell ref="D26:F26"/>
    <mergeCell ref="D36:F36"/>
    <mergeCell ref="G35:I35"/>
    <mergeCell ref="D30:F30"/>
    <mergeCell ref="G22:I22"/>
    <mergeCell ref="G42:I42"/>
    <mergeCell ref="G43:I43"/>
    <mergeCell ref="G64:I64"/>
    <mergeCell ref="G38:I38"/>
    <mergeCell ref="G149:I150"/>
    <mergeCell ref="H76:I76"/>
    <mergeCell ref="G36:I36"/>
    <mergeCell ref="G47:I47"/>
    <mergeCell ref="G58:I58"/>
    <mergeCell ref="G17:I17"/>
    <mergeCell ref="G41:I41"/>
    <mergeCell ref="E71:I71"/>
    <mergeCell ref="D35:F35"/>
    <mergeCell ref="G46:I46"/>
    <mergeCell ref="G39:I39"/>
    <mergeCell ref="D49:F49"/>
    <mergeCell ref="D37:I37"/>
    <mergeCell ref="D22:F22"/>
    <mergeCell ref="G24:I24"/>
    <mergeCell ref="D12:F12"/>
    <mergeCell ref="D14:F14"/>
    <mergeCell ref="G26:I26"/>
    <mergeCell ref="G27:I27"/>
    <mergeCell ref="G28:I28"/>
    <mergeCell ref="C55:C56"/>
    <mergeCell ref="G31:I31"/>
    <mergeCell ref="G32:I32"/>
    <mergeCell ref="D31:F31"/>
    <mergeCell ref="D34:F34"/>
    <mergeCell ref="D11:F11"/>
    <mergeCell ref="G19:I19"/>
    <mergeCell ref="G15:I15"/>
    <mergeCell ref="G18:I18"/>
    <mergeCell ref="D19:F19"/>
    <mergeCell ref="G30:I30"/>
    <mergeCell ref="D25:F25"/>
    <mergeCell ref="D23:F23"/>
    <mergeCell ref="G11:I11"/>
    <mergeCell ref="G12:I12"/>
    <mergeCell ref="D43:F43"/>
    <mergeCell ref="G45:I45"/>
    <mergeCell ref="D44:F44"/>
    <mergeCell ref="D47:F47"/>
    <mergeCell ref="D45:F45"/>
    <mergeCell ref="D27:F27"/>
    <mergeCell ref="D33:F33"/>
    <mergeCell ref="G40:I40"/>
    <mergeCell ref="G34:I34"/>
    <mergeCell ref="D46:F46"/>
    <mergeCell ref="D15:F15"/>
    <mergeCell ref="D16:F16"/>
    <mergeCell ref="G25:I25"/>
    <mergeCell ref="D21:F21"/>
    <mergeCell ref="D24:F24"/>
    <mergeCell ref="G20:I20"/>
    <mergeCell ref="G23:I23"/>
    <mergeCell ref="G21:I21"/>
    <mergeCell ref="G16:I16"/>
    <mergeCell ref="D17:F17"/>
    <mergeCell ref="D18:F18"/>
    <mergeCell ref="A1:G1"/>
    <mergeCell ref="A2:G2"/>
    <mergeCell ref="A6:G6"/>
    <mergeCell ref="A5:B5"/>
    <mergeCell ref="A8:A10"/>
    <mergeCell ref="B8:B10"/>
    <mergeCell ref="C8:C9"/>
    <mergeCell ref="G10:I10"/>
    <mergeCell ref="D8:I8"/>
    <mergeCell ref="D9:F10"/>
    <mergeCell ref="D28:F28"/>
    <mergeCell ref="B55:B56"/>
    <mergeCell ref="D56:F57"/>
    <mergeCell ref="D53:F53"/>
    <mergeCell ref="G57:I57"/>
    <mergeCell ref="D51:F51"/>
    <mergeCell ref="D42:F42"/>
    <mergeCell ref="B37:B38"/>
    <mergeCell ref="C37:C38"/>
    <mergeCell ref="D48:F48"/>
    <mergeCell ref="G54:I54"/>
    <mergeCell ref="D62:F62"/>
    <mergeCell ref="A55:A57"/>
    <mergeCell ref="H78:I78"/>
    <mergeCell ref="H77:I77"/>
    <mergeCell ref="E70:I70"/>
    <mergeCell ref="G68:I68"/>
    <mergeCell ref="D60:F60"/>
    <mergeCell ref="A73:A75"/>
    <mergeCell ref="G9:I9"/>
    <mergeCell ref="G87:I87"/>
    <mergeCell ref="D61:F61"/>
    <mergeCell ref="G59:I59"/>
    <mergeCell ref="G60:I60"/>
    <mergeCell ref="G65:I65"/>
    <mergeCell ref="D63:F63"/>
    <mergeCell ref="G67:I67"/>
    <mergeCell ref="D67:F67"/>
    <mergeCell ref="G50:I50"/>
    <mergeCell ref="G88:I88"/>
    <mergeCell ref="G85:I85"/>
    <mergeCell ref="G90:I90"/>
    <mergeCell ref="A123:D123"/>
    <mergeCell ref="H114:I114"/>
    <mergeCell ref="A93:I93"/>
    <mergeCell ref="H116:I116"/>
    <mergeCell ref="H117:I117"/>
    <mergeCell ref="H118:I118"/>
    <mergeCell ref="H119:I119"/>
    <mergeCell ref="A124:D124"/>
    <mergeCell ref="E124:I124"/>
    <mergeCell ref="E128:I128"/>
    <mergeCell ref="E126:I126"/>
    <mergeCell ref="E120:I122"/>
    <mergeCell ref="A125:D125"/>
    <mergeCell ref="E123:I123"/>
    <mergeCell ref="A127:D127"/>
    <mergeCell ref="A131:D131"/>
    <mergeCell ref="H138:I138"/>
    <mergeCell ref="F134:G134"/>
    <mergeCell ref="D134:E134"/>
    <mergeCell ref="D145:I145"/>
    <mergeCell ref="A130:D130"/>
    <mergeCell ref="H137:I137"/>
    <mergeCell ref="H142:I142"/>
    <mergeCell ref="D144:I144"/>
    <mergeCell ref="E131:I131"/>
    <mergeCell ref="G164:H164"/>
    <mergeCell ref="A163:D163"/>
    <mergeCell ref="A152:D152"/>
    <mergeCell ref="A153:D153"/>
    <mergeCell ref="A156:D156"/>
    <mergeCell ref="H140:I140"/>
    <mergeCell ref="A149:D150"/>
    <mergeCell ref="B146:C146"/>
    <mergeCell ref="B147:C147"/>
    <mergeCell ref="E163:F163"/>
    <mergeCell ref="A88:F88"/>
    <mergeCell ref="D73:E74"/>
    <mergeCell ref="F73:G74"/>
    <mergeCell ref="B73:B75"/>
    <mergeCell ref="A128:D128"/>
    <mergeCell ref="G95:I95"/>
    <mergeCell ref="A94:F94"/>
    <mergeCell ref="E127:I127"/>
    <mergeCell ref="H115:I115"/>
    <mergeCell ref="E125:I125"/>
    <mergeCell ref="D32:F32"/>
    <mergeCell ref="H73:I75"/>
    <mergeCell ref="D55:I55"/>
    <mergeCell ref="G56:I56"/>
    <mergeCell ref="G49:I49"/>
    <mergeCell ref="G66:I66"/>
    <mergeCell ref="D50:F50"/>
    <mergeCell ref="D38:F39"/>
    <mergeCell ref="G48:I48"/>
    <mergeCell ref="D59:F59"/>
    <mergeCell ref="C73:C74"/>
    <mergeCell ref="H113:I113"/>
    <mergeCell ref="A120:D122"/>
    <mergeCell ref="H79:I79"/>
    <mergeCell ref="A126:D126"/>
    <mergeCell ref="A86:F86"/>
    <mergeCell ref="A89:F89"/>
    <mergeCell ref="H80:I80"/>
    <mergeCell ref="H81:I81"/>
    <mergeCell ref="G96:I96"/>
    <mergeCell ref="A85:F85"/>
    <mergeCell ref="G86:I86"/>
    <mergeCell ref="A87:F87"/>
    <mergeCell ref="A83:I84"/>
    <mergeCell ref="H112:I112"/>
    <mergeCell ref="H82:I82"/>
    <mergeCell ref="A91:F91"/>
    <mergeCell ref="G97:I97"/>
    <mergeCell ref="E99:I99"/>
    <mergeCell ref="A96:F96"/>
    <mergeCell ref="B102:B104"/>
    <mergeCell ref="H110:I110"/>
    <mergeCell ref="D102:E102"/>
    <mergeCell ref="H105:I105"/>
    <mergeCell ref="H109:I109"/>
    <mergeCell ref="F102:G102"/>
    <mergeCell ref="H108:I108"/>
    <mergeCell ref="G89:I89"/>
    <mergeCell ref="H106:I106"/>
    <mergeCell ref="E100:I100"/>
    <mergeCell ref="A101:I101"/>
    <mergeCell ref="A99:D99"/>
    <mergeCell ref="G94:I94"/>
    <mergeCell ref="A90:F90"/>
    <mergeCell ref="G92:I92"/>
    <mergeCell ref="A92:F92"/>
    <mergeCell ref="A97:F97"/>
    <mergeCell ref="A100:D100"/>
    <mergeCell ref="H107:I107"/>
    <mergeCell ref="H102:I104"/>
    <mergeCell ref="G91:I91"/>
    <mergeCell ref="H139:I139"/>
    <mergeCell ref="H141:I141"/>
    <mergeCell ref="A95:F95"/>
    <mergeCell ref="H134:I136"/>
    <mergeCell ref="E130:I130"/>
    <mergeCell ref="A133:I133"/>
    <mergeCell ref="D147:I147"/>
    <mergeCell ref="D146:I146"/>
    <mergeCell ref="E153:F153"/>
    <mergeCell ref="A162:D162"/>
    <mergeCell ref="G151:I151"/>
    <mergeCell ref="G152:I152"/>
    <mergeCell ref="E154:F154"/>
    <mergeCell ref="A158:D158"/>
    <mergeCell ref="A159:D159"/>
    <mergeCell ref="B145:C145"/>
    <mergeCell ref="B144:C144"/>
    <mergeCell ref="G154:I154"/>
    <mergeCell ref="G155:I155"/>
    <mergeCell ref="G156:I156"/>
    <mergeCell ref="G157:I157"/>
    <mergeCell ref="G153:I153"/>
    <mergeCell ref="A154:D154"/>
    <mergeCell ref="A155:D155"/>
    <mergeCell ref="A157:D157"/>
    <mergeCell ref="G163:I163"/>
    <mergeCell ref="G159:I159"/>
    <mergeCell ref="G160:I160"/>
    <mergeCell ref="G161:I161"/>
    <mergeCell ref="E162:F162"/>
    <mergeCell ref="G158:I158"/>
    <mergeCell ref="G162:I162"/>
    <mergeCell ref="A72:I72"/>
    <mergeCell ref="A143:I143"/>
    <mergeCell ref="A148:I148"/>
    <mergeCell ref="A160:D160"/>
    <mergeCell ref="A161:D161"/>
    <mergeCell ref="A129:D129"/>
    <mergeCell ref="E129:I129"/>
    <mergeCell ref="E161:F161"/>
    <mergeCell ref="H111:I111"/>
    <mergeCell ref="A151:D151"/>
  </mergeCells>
  <printOptions horizontalCentered="1"/>
  <pageMargins left="0.1968503937007874" right="0.1968503937007874" top="0.7086614173228347" bottom="0.1968503937007874" header="0.5118110236220472" footer="0.5118110236220472"/>
  <pageSetup fitToHeight="3" fitToWidth="3" horizontalDpi="600" verticalDpi="600" orientation="landscape" paperSize="9" scale="54" r:id="rId2"/>
  <headerFooter scaleWithDoc="0">
    <oddFooter>&amp;L&amp;8Publicação: Diário Oficial do Município nº 19
Data: 28.01.2021&amp;R&amp;8&amp;P / &amp;N</oddFooter>
  </headerFooter>
  <rowBreaks count="3" manualBreakCount="3">
    <brk id="53" max="8" man="1"/>
    <brk id="92" max="8" man="1"/>
    <brk id="132" max="8" man="1"/>
  </rowBreaks>
  <ignoredErrors>
    <ignoredError sqref="D11 C65:D65 C79:D79 C41 C61 C59 E119 G119 G141 E112:E113 E109 G109 G112 E105:E106 G105:G106 B62" formula="1"/>
    <ignoredError sqref="G82 E138 E140 E131" evalError="1"/>
    <ignoredError sqref="B25" formulaRange="1"/>
    <ignoredError sqref="G142 E141:E142" evalError="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38"/>
  <sheetViews>
    <sheetView showGridLines="0" view="pageBreakPreview" zoomScaleSheetLayoutView="100" zoomScalePageLayoutView="0" workbookViewId="0" topLeftCell="A7">
      <selection activeCell="E22" sqref="E22"/>
    </sheetView>
  </sheetViews>
  <sheetFormatPr defaultColWidth="7.8515625" defaultRowHeight="12.75"/>
  <cols>
    <col min="1" max="1" width="46.140625" style="246" customWidth="1"/>
    <col min="2" max="2" width="8.140625" style="247" customWidth="1"/>
    <col min="3" max="3" width="13.8515625" style="247" customWidth="1"/>
    <col min="4" max="4" width="28.28125" style="246" customWidth="1"/>
    <col min="5" max="5" width="36.140625" style="246" customWidth="1"/>
    <col min="6" max="6" width="15.8515625" style="250" customWidth="1"/>
    <col min="7" max="8" width="7.8515625" style="250" customWidth="1"/>
    <col min="9" max="9" width="7.421875" style="250" customWidth="1"/>
    <col min="10" max="16384" width="7.8515625" style="250" customWidth="1"/>
  </cols>
  <sheetData>
    <row r="1" spans="1:7" ht="14.25">
      <c r="A1" s="2127" t="s">
        <v>373</v>
      </c>
      <c r="B1" s="2127"/>
      <c r="C1" s="2127"/>
      <c r="D1" s="2127"/>
      <c r="E1" s="2127"/>
      <c r="F1" s="386"/>
      <c r="G1" s="386"/>
    </row>
    <row r="2" spans="1:7" ht="14.25">
      <c r="A2" s="2127" t="s">
        <v>0</v>
      </c>
      <c r="B2" s="2127"/>
      <c r="C2" s="2127"/>
      <c r="D2" s="2127"/>
      <c r="E2" s="2127"/>
      <c r="F2" s="386"/>
      <c r="G2" s="386"/>
    </row>
    <row r="3" spans="1:7" ht="17.25" customHeight="1">
      <c r="A3" s="1434" t="s">
        <v>953</v>
      </c>
      <c r="B3" s="1435"/>
      <c r="C3" s="1435"/>
      <c r="D3" s="1435"/>
      <c r="E3" s="1436"/>
      <c r="F3" s="1437"/>
      <c r="G3" s="1437"/>
    </row>
    <row r="4" spans="1:7" ht="17.25" customHeight="1">
      <c r="A4" s="7" t="s">
        <v>954</v>
      </c>
      <c r="B4" s="1438"/>
      <c r="C4" s="1438"/>
      <c r="D4" s="1438"/>
      <c r="E4" s="377"/>
      <c r="F4" s="1439"/>
      <c r="G4" s="1439"/>
    </row>
    <row r="5" spans="1:10" s="349" customFormat="1" ht="15.75" customHeight="1">
      <c r="A5" s="2128" t="str">
        <f>'Anexo 8 _ ENSINO'!A5:B5</f>
        <v>            Referência: JANEIRO-DEZEMBRO/2020; BIMESTRE: NOVEMBRO-DEZEMBRO/2020</v>
      </c>
      <c r="B5" s="2128"/>
      <c r="C5" s="2128"/>
      <c r="D5" s="2128"/>
      <c r="E5" s="2128"/>
      <c r="F5" s="387"/>
      <c r="G5" s="387"/>
      <c r="H5" s="387"/>
      <c r="I5" s="388"/>
      <c r="J5" s="389"/>
    </row>
    <row r="7" spans="1:5" ht="14.25">
      <c r="A7" s="246" t="s">
        <v>955</v>
      </c>
      <c r="D7" s="1440"/>
      <c r="E7" s="1431"/>
    </row>
    <row r="8" spans="1:5" ht="26.25" customHeight="1">
      <c r="A8" s="2123" t="s">
        <v>2</v>
      </c>
      <c r="B8" s="2129" t="s">
        <v>169</v>
      </c>
      <c r="C8" s="2130"/>
      <c r="D8" s="1441" t="s">
        <v>146</v>
      </c>
      <c r="E8" s="1522" t="s">
        <v>956</v>
      </c>
    </row>
    <row r="9" spans="1:5" ht="19.5" customHeight="1">
      <c r="A9" s="2123"/>
      <c r="B9" s="2131" t="s">
        <v>957</v>
      </c>
      <c r="C9" s="2132"/>
      <c r="D9" s="1442" t="s">
        <v>958</v>
      </c>
      <c r="E9" s="1443" t="s">
        <v>959</v>
      </c>
    </row>
    <row r="10" spans="1:5" ht="36.75" customHeight="1">
      <c r="A10" s="1444" t="s">
        <v>960</v>
      </c>
      <c r="B10" s="2122">
        <v>238957920.21</v>
      </c>
      <c r="C10" s="2122"/>
      <c r="D10" s="1446">
        <v>234142387.62</v>
      </c>
      <c r="E10" s="1445">
        <f>B10-D10</f>
        <v>4815532.590000004</v>
      </c>
    </row>
    <row r="11" spans="1:5" s="353" customFormat="1" ht="14.25">
      <c r="A11" s="1447"/>
      <c r="B11" s="1448"/>
      <c r="C11" s="1448"/>
      <c r="D11" s="1449"/>
      <c r="E11" s="1450"/>
    </row>
    <row r="12" spans="1:5" ht="30" customHeight="1">
      <c r="A12" s="2123" t="s">
        <v>34</v>
      </c>
      <c r="B12" s="2124" t="s">
        <v>229</v>
      </c>
      <c r="C12" s="2125"/>
      <c r="D12" s="1451" t="s">
        <v>324</v>
      </c>
      <c r="E12" s="1451" t="s">
        <v>961</v>
      </c>
    </row>
    <row r="13" spans="1:5" ht="24.75" customHeight="1">
      <c r="A13" s="2123"/>
      <c r="B13" s="2126" t="s">
        <v>230</v>
      </c>
      <c r="C13" s="2121"/>
      <c r="D13" s="1453" t="s">
        <v>962</v>
      </c>
      <c r="E13" s="1453" t="s">
        <v>963</v>
      </c>
    </row>
    <row r="14" spans="1:5" ht="23.25" customHeight="1">
      <c r="A14" s="1454" t="s">
        <v>964</v>
      </c>
      <c r="B14" s="2120">
        <f>B15+B16+B17</f>
        <v>655733325.41</v>
      </c>
      <c r="C14" s="2120"/>
      <c r="D14" s="1455">
        <f>D15+D16+D17</f>
        <v>542813304.65</v>
      </c>
      <c r="E14" s="1455">
        <f>E15+E16+E17</f>
        <v>112920020.75999999</v>
      </c>
    </row>
    <row r="15" spans="1:5" s="345" customFormat="1" ht="24.75" customHeight="1">
      <c r="A15" s="1444" t="s">
        <v>965</v>
      </c>
      <c r="B15" s="2120">
        <v>567793414.28</v>
      </c>
      <c r="C15" s="2120"/>
      <c r="D15" s="1455">
        <v>458299236.71</v>
      </c>
      <c r="E15" s="1455">
        <f>B15-D15</f>
        <v>109494177.57</v>
      </c>
    </row>
    <row r="16" spans="1:5" ht="33" customHeight="1">
      <c r="A16" s="1456" t="s">
        <v>966</v>
      </c>
      <c r="B16" s="2117"/>
      <c r="C16" s="2117"/>
      <c r="D16" s="1455"/>
      <c r="E16" s="1455">
        <f>B16-D16</f>
        <v>0</v>
      </c>
    </row>
    <row r="17" spans="1:5" ht="33" customHeight="1">
      <c r="A17" s="1456" t="s">
        <v>967</v>
      </c>
      <c r="B17" s="2118">
        <v>87939911.13</v>
      </c>
      <c r="C17" s="2119"/>
      <c r="D17" s="1455">
        <v>84514067.94</v>
      </c>
      <c r="E17" s="1455">
        <f>B17-D17</f>
        <v>3425843.1899999976</v>
      </c>
    </row>
    <row r="18" spans="1:5" ht="33" customHeight="1">
      <c r="A18" s="1456" t="s">
        <v>968</v>
      </c>
      <c r="B18" s="2118"/>
      <c r="C18" s="2119"/>
      <c r="D18" s="1455"/>
      <c r="E18" s="1455">
        <f>B18-D18</f>
        <v>0</v>
      </c>
    </row>
    <row r="19" spans="1:5" ht="33" customHeight="1">
      <c r="A19" s="1456" t="s">
        <v>969</v>
      </c>
      <c r="B19" s="2118"/>
      <c r="C19" s="2119"/>
      <c r="D19" s="1455"/>
      <c r="E19" s="1455">
        <f>B19-D19</f>
        <v>0</v>
      </c>
    </row>
    <row r="20" spans="1:5" ht="33.75" customHeight="1">
      <c r="A20" s="1444" t="s">
        <v>970</v>
      </c>
      <c r="B20" s="2120">
        <f>B14-B18-B19</f>
        <v>655733325.41</v>
      </c>
      <c r="C20" s="2120"/>
      <c r="D20" s="1455">
        <f>D14-D18-D19</f>
        <v>542813304.65</v>
      </c>
      <c r="E20" s="1455">
        <f>E14-E18-E19</f>
        <v>112920020.75999999</v>
      </c>
    </row>
    <row r="21" spans="1:5" s="1459" customFormat="1" ht="9.75" customHeight="1">
      <c r="A21" s="1457"/>
      <c r="B21" s="2121"/>
      <c r="C21" s="2121"/>
      <c r="D21" s="1452"/>
      <c r="E21" s="1458"/>
    </row>
    <row r="22" spans="1:9" ht="38.25" customHeight="1">
      <c r="A22" s="1460" t="s">
        <v>971</v>
      </c>
      <c r="B22" s="2116">
        <f>B20-B10</f>
        <v>416775405.1999999</v>
      </c>
      <c r="C22" s="2116"/>
      <c r="D22" s="1461">
        <f>D20-D10</f>
        <v>308670917.03</v>
      </c>
      <c r="E22" s="1461">
        <f>B22-D22</f>
        <v>108104488.16999996</v>
      </c>
      <c r="I22" s="361"/>
    </row>
    <row r="23" spans="1:5" ht="19.5" customHeight="1">
      <c r="A23" s="263" t="str">
        <f>'[20]Anexo III _ RCL'!A35</f>
        <v>FONTE: SECRETARIA MUNICIPAL DA FAZENDA</v>
      </c>
      <c r="B23" s="1432"/>
      <c r="C23" s="1432"/>
      <c r="D23" s="1432"/>
      <c r="E23" s="1432"/>
    </row>
    <row r="24" spans="1:5" ht="19.5" customHeight="1">
      <c r="A24" s="377" t="str">
        <f>'Anexo 8 _ ENSINO'!A165</f>
        <v>  São Luís,  de Janeiro de 2021.</v>
      </c>
      <c r="B24" s="1432"/>
      <c r="C24" s="1432"/>
      <c r="D24" s="1432"/>
      <c r="E24" s="1432"/>
    </row>
    <row r="25" spans="1:6" ht="14.25">
      <c r="A25" s="251"/>
      <c r="B25" s="1462"/>
      <c r="C25" s="1463"/>
      <c r="D25" s="1463"/>
      <c r="E25" s="380"/>
      <c r="F25" s="1464"/>
    </row>
    <row r="26" spans="1:6" ht="14.25">
      <c r="A26" s="251"/>
      <c r="B26" s="1462"/>
      <c r="C26" s="1463"/>
      <c r="D26" s="1463"/>
      <c r="E26" s="380"/>
      <c r="F26" s="1464"/>
    </row>
    <row r="27" spans="1:5" s="247" customFormat="1" ht="14.25">
      <c r="A27" s="246"/>
      <c r="E27" s="246"/>
    </row>
    <row r="28" spans="1:6" s="247" customFormat="1" ht="15">
      <c r="A28" s="395"/>
      <c r="B28" s="1465"/>
      <c r="C28" s="1465"/>
      <c r="D28" s="395"/>
      <c r="E28" s="246"/>
      <c r="F28" s="1466"/>
    </row>
    <row r="29" ht="14.25">
      <c r="D29" s="247"/>
    </row>
    <row r="30" ht="14.25">
      <c r="D30" s="247"/>
    </row>
    <row r="31" ht="14.25">
      <c r="D31" s="247"/>
    </row>
    <row r="32" ht="14.25">
      <c r="D32" s="247"/>
    </row>
    <row r="33" ht="14.25">
      <c r="D33" s="247"/>
    </row>
    <row r="34" ht="14.25">
      <c r="D34" s="247"/>
    </row>
    <row r="35" ht="14.25">
      <c r="D35" s="247"/>
    </row>
    <row r="36" ht="14.25">
      <c r="D36" s="247"/>
    </row>
    <row r="37" spans="1:5" ht="14.25">
      <c r="A37" s="353"/>
      <c r="B37" s="250"/>
      <c r="C37" s="250"/>
      <c r="D37" s="247"/>
      <c r="E37" s="353"/>
    </row>
    <row r="38" spans="1:5" ht="14.25">
      <c r="A38" s="353"/>
      <c r="B38" s="250"/>
      <c r="C38" s="250"/>
      <c r="D38" s="247"/>
      <c r="E38" s="353"/>
    </row>
  </sheetData>
  <sheetProtection/>
  <mergeCells count="19">
    <mergeCell ref="A1:E1"/>
    <mergeCell ref="A2:E2"/>
    <mergeCell ref="A5:E5"/>
    <mergeCell ref="A8:A9"/>
    <mergeCell ref="B8:C8"/>
    <mergeCell ref="B9:C9"/>
    <mergeCell ref="B10:C10"/>
    <mergeCell ref="A12:A13"/>
    <mergeCell ref="B12:C12"/>
    <mergeCell ref="B13:C13"/>
    <mergeCell ref="B14:C14"/>
    <mergeCell ref="B15:C15"/>
    <mergeCell ref="B22:C22"/>
    <mergeCell ref="B16:C16"/>
    <mergeCell ref="B17:C17"/>
    <mergeCell ref="B18:C18"/>
    <mergeCell ref="B19:C19"/>
    <mergeCell ref="B20:C20"/>
    <mergeCell ref="B21:C21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landscape" paperSize="9" scale="65" r:id="rId2"/>
  <headerFooter scaleWithDoc="0">
    <oddFooter>&amp;L&amp;8Publicação: Diário Oficial do Município nº 19
Data: 28.01.2021&amp;R&amp;8&amp;P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Durval Ferreira Bezerra Filho</dc:creator>
  <cp:keywords/>
  <dc:description/>
  <cp:lastModifiedBy>Lutero Almeida Vieira</cp:lastModifiedBy>
  <cp:lastPrinted>2021-01-27T10:30:46Z</cp:lastPrinted>
  <dcterms:created xsi:type="dcterms:W3CDTF">2010-04-09T15:53:13Z</dcterms:created>
  <dcterms:modified xsi:type="dcterms:W3CDTF">2021-01-27T10:33:36Z</dcterms:modified>
  <cp:category/>
  <cp:version/>
  <cp:contentType/>
  <cp:contentStatus/>
</cp:coreProperties>
</file>